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615" yWindow="135" windowWidth="15810" windowHeight="10305" tabRatio="925" activeTab="6"/>
  </bookViews>
  <sheets>
    <sheet name="Вед-я стр-ра" sheetId="11" r:id="rId1"/>
    <sheet name="МП и неМП" sheetId="17" r:id="rId2"/>
    <sheet name="контроль" sheetId="1" r:id="rId3"/>
    <sheet name="ГРБС 2023" sheetId="25" r:id="rId4"/>
    <sheet name="ГРБС 2024" sheetId="26" r:id="rId5"/>
    <sheet name="ГРБС 2025" sheetId="36" r:id="rId6"/>
    <sheet name="Р ПР 2021-2023" sheetId="18" r:id="rId7"/>
    <sheet name="ПАРАМЕТРЫ" sheetId="31" r:id="rId8"/>
    <sheet name="ПРОВЕРКА прогр-непрогр" sheetId="23" r:id="rId9"/>
    <sheet name="прил. 2 по МП к ПЗ 2022" sheetId="21" state="hidden" r:id="rId10"/>
    <sheet name="прил. 2 по МП к ПЗ 2023" sheetId="27" state="hidden" r:id="rId11"/>
    <sheet name="прил. 2 по МП к ПЗ 2024" sheetId="29" state="hidden" r:id="rId12"/>
    <sheet name="прил. 3 по неМП 2022" sheetId="24" state="hidden" r:id="rId13"/>
    <sheet name="прил. 3 по неМП 2023" sheetId="28" state="hidden" r:id="rId14"/>
    <sheet name="прил. 3 по неМП 2024" sheetId="30" state="hidden" r:id="rId15"/>
    <sheet name="вр" sheetId="32" r:id="rId16"/>
    <sheet name="софинансирование" sheetId="33" r:id="rId17"/>
    <sheet name="напр расходов" sheetId="34" r:id="rId18"/>
    <sheet name="Нацпроекты" sheetId="35" r:id="rId19"/>
  </sheets>
  <definedNames>
    <definedName name="_xlnm._FilterDatabase" localSheetId="0" hidden="1">'Вед-я стр-ра'!$B$1:$T$1385</definedName>
    <definedName name="_xlnm._FilterDatabase" localSheetId="1" hidden="1">'МП и неМП'!$A$5:$G$900</definedName>
    <definedName name="_xlnm._FilterDatabase" localSheetId="17" hidden="1">'напр расходов'!$E$1:$E$264</definedName>
    <definedName name="_xlnm._FilterDatabase" localSheetId="9" hidden="1">'прил. 2 по МП к ПЗ 2022'!$A$4:$M$28</definedName>
    <definedName name="_xlnm._FilterDatabase" localSheetId="12" hidden="1">'прил. 3 по неМП 2022'!$C$7:$E$26</definedName>
    <definedName name="_xlnm._FilterDatabase" localSheetId="13" hidden="1">'прил. 3 по неМП 2023'!$C$7:$E$26</definedName>
    <definedName name="_xlnm._FilterDatabase" localSheetId="14" hidden="1">'прил. 3 по неМП 2024'!$C$7:$E$26</definedName>
    <definedName name="_xlnm._FilterDatabase" localSheetId="6" hidden="1">'Р ПР 2021-2023'!$C$1:$D$62</definedName>
    <definedName name="_xlnm.Print_Titles" localSheetId="0">'Вед-я стр-ра'!$4:$4</definedName>
    <definedName name="_xlnm.Print_Titles" localSheetId="1">'МП и неМП'!$6:$6</definedName>
    <definedName name="_xlnm.Print_Titles" localSheetId="9">'прил. 2 по МП к ПЗ 2022'!$8:$8</definedName>
    <definedName name="_xlnm.Print_Titles" localSheetId="10">'прил. 2 по МП к ПЗ 2023'!$8:$8</definedName>
    <definedName name="_xlnm.Print_Titles" localSheetId="11">'прил. 2 по МП к ПЗ 2024'!$8:$8</definedName>
    <definedName name="_xlnm.Print_Titles" localSheetId="12">'прил. 3 по неМП 2022'!$9:$9</definedName>
    <definedName name="_xlnm.Print_Titles" localSheetId="13">'прил. 3 по неМП 2023'!$9:$9</definedName>
    <definedName name="_xlnm.Print_Titles" localSheetId="14">'прил. 3 по неМП 2024'!$9:$9</definedName>
    <definedName name="_xlnm.Print_Titles" localSheetId="8">'ПРОВЕРКА прогр-непрогр'!$6:$6</definedName>
    <definedName name="_xlnm.Print_Area" localSheetId="0">'Вед-я стр-ра'!$B$1:$J$1385</definedName>
    <definedName name="_xlnm.Print_Area" localSheetId="15">вр!$B$2:$C$19</definedName>
    <definedName name="_xlnm.Print_Area" localSheetId="3">'ГРБС 2023'!$A$1:$M$37</definedName>
    <definedName name="_xlnm.Print_Area" localSheetId="4">'ГРБС 2024'!$A$1:$K$37</definedName>
    <definedName name="_xlnm.Print_Area" localSheetId="5">'ГРБС 2025'!$A$1:$K$37</definedName>
    <definedName name="_xlnm.Print_Area" localSheetId="2">контроль!$A$15:$D$31</definedName>
    <definedName name="_xlnm.Print_Area" localSheetId="1">'МП и неМП'!$B$5:$G$897</definedName>
    <definedName name="_xlnm.Print_Area" localSheetId="7">ПАРАМЕТРЫ!$A$1:$D$7</definedName>
    <definedName name="_xlnm.Print_Area" localSheetId="9">'прил. 2 по МП к ПЗ 2022'!$A$1:$K$28</definedName>
    <definedName name="_xlnm.Print_Area" localSheetId="10">'прил. 2 по МП к ПЗ 2023'!$A$1:$K$28</definedName>
    <definedName name="_xlnm.Print_Area" localSheetId="11">'прил. 2 по МП к ПЗ 2024'!$A$1:$K$30</definedName>
    <definedName name="_xlnm.Print_Area" localSheetId="12">'прил. 3 по неМП 2022'!$A$1:$K$27</definedName>
    <definedName name="_xlnm.Print_Area" localSheetId="13">'прил. 3 по неМП 2023'!$A$1:$K$29</definedName>
    <definedName name="_xlnm.Print_Area" localSheetId="14">'прил. 3 по неМП 2024'!$A$1:$K$29</definedName>
    <definedName name="_xlnm.Print_Area" localSheetId="8">'ПРОВЕРКА прогр-непрогр'!$A$1:$E$46</definedName>
    <definedName name="_xlnm.Print_Area" localSheetId="6">'Р ПР 2021-2023'!$A$1:$E$48</definedName>
  </definedNames>
  <calcPr calcId="125725" iterate="1"/>
</workbook>
</file>

<file path=xl/calcChain.xml><?xml version="1.0" encoding="utf-8"?>
<calcChain xmlns="http://schemas.openxmlformats.org/spreadsheetml/2006/main">
  <c r="F17" i="35"/>
  <c r="D28"/>
  <c r="D17"/>
  <c r="D7"/>
  <c r="D36"/>
  <c r="D48"/>
  <c r="F889" i="17"/>
  <c r="G889"/>
  <c r="E889"/>
  <c r="I63" i="11"/>
  <c r="J63"/>
  <c r="H63"/>
  <c r="F64" i="17"/>
  <c r="F63" s="1"/>
  <c r="G64"/>
  <c r="G63" s="1"/>
  <c r="J222" i="11"/>
  <c r="I222"/>
  <c r="H222"/>
  <c r="G19" i="36"/>
  <c r="H1211" i="11"/>
  <c r="J985"/>
  <c r="I985"/>
  <c r="H985"/>
  <c r="J913"/>
  <c r="I913"/>
  <c r="H913"/>
  <c r="G396" i="17"/>
  <c r="F396"/>
  <c r="I877" i="11"/>
  <c r="I876" s="1"/>
  <c r="I875" s="1"/>
  <c r="J877"/>
  <c r="J876" s="1"/>
  <c r="J875" s="1"/>
  <c r="H878"/>
  <c r="E397" i="17" s="1"/>
  <c r="E396" s="1"/>
  <c r="H699" i="11"/>
  <c r="N699" s="1"/>
  <c r="N756"/>
  <c r="N759"/>
  <c r="N763"/>
  <c r="N777"/>
  <c r="N778"/>
  <c r="N789"/>
  <c r="N793"/>
  <c r="N801"/>
  <c r="N805"/>
  <c r="N806"/>
  <c r="N807"/>
  <c r="N809"/>
  <c r="N811"/>
  <c r="N812"/>
  <c r="N814"/>
  <c r="N815"/>
  <c r="N816"/>
  <c r="H708"/>
  <c r="N708" s="1"/>
  <c r="H705"/>
  <c r="N705" s="1"/>
  <c r="H711"/>
  <c r="N711" s="1"/>
  <c r="H710"/>
  <c r="N710" s="1"/>
  <c r="H704"/>
  <c r="H702"/>
  <c r="N702" s="1"/>
  <c r="H696"/>
  <c r="N696" s="1"/>
  <c r="H693"/>
  <c r="N693" s="1"/>
  <c r="H692"/>
  <c r="N692" s="1"/>
  <c r="J715"/>
  <c r="I715"/>
  <c r="H715"/>
  <c r="N715" s="1"/>
  <c r="H780"/>
  <c r="N780" s="1"/>
  <c r="H772"/>
  <c r="N772" s="1"/>
  <c r="H771"/>
  <c r="N771" s="1"/>
  <c r="H719"/>
  <c r="N719" s="1"/>
  <c r="J682"/>
  <c r="H775"/>
  <c r="N775" s="1"/>
  <c r="H774"/>
  <c r="N774" s="1"/>
  <c r="H769"/>
  <c r="N769" s="1"/>
  <c r="J783"/>
  <c r="I783"/>
  <c r="H783"/>
  <c r="N783" s="1"/>
  <c r="H616"/>
  <c r="N616" s="1"/>
  <c r="N514"/>
  <c r="N515"/>
  <c r="N523"/>
  <c r="N526"/>
  <c r="N529"/>
  <c r="N534"/>
  <c r="N535"/>
  <c r="N541"/>
  <c r="N547"/>
  <c r="N552"/>
  <c r="N555"/>
  <c r="N557"/>
  <c r="N561"/>
  <c r="N569"/>
  <c r="N574"/>
  <c r="N581"/>
  <c r="N583"/>
  <c r="N603"/>
  <c r="N610"/>
  <c r="N619"/>
  <c r="N624"/>
  <c r="N634"/>
  <c r="N639"/>
  <c r="N651"/>
  <c r="N652"/>
  <c r="N660"/>
  <c r="N664"/>
  <c r="N678"/>
  <c r="N679"/>
  <c r="N681"/>
  <c r="N682"/>
  <c r="N684"/>
  <c r="N686"/>
  <c r="N687"/>
  <c r="N689"/>
  <c r="N690"/>
  <c r="N695"/>
  <c r="N698"/>
  <c r="N701"/>
  <c r="N704"/>
  <c r="N707"/>
  <c r="N713"/>
  <c r="N718"/>
  <c r="N723"/>
  <c r="N725"/>
  <c r="N727"/>
  <c r="N729"/>
  <c r="N731"/>
  <c r="N733"/>
  <c r="N735"/>
  <c r="N737"/>
  <c r="N739"/>
  <c r="N741"/>
  <c r="N743"/>
  <c r="N745"/>
  <c r="N747"/>
  <c r="N753"/>
  <c r="J597"/>
  <c r="I529"/>
  <c r="J599"/>
  <c r="I599"/>
  <c r="H599"/>
  <c r="N599" s="1"/>
  <c r="G81" i="17"/>
  <c r="G80" s="1"/>
  <c r="G79" s="1"/>
  <c r="E81"/>
  <c r="E80" s="1"/>
  <c r="E79" s="1"/>
  <c r="J499" i="11"/>
  <c r="N499" s="1"/>
  <c r="N327"/>
  <c r="N329"/>
  <c r="N330"/>
  <c r="N331"/>
  <c r="N332"/>
  <c r="N333"/>
  <c r="N341"/>
  <c r="N342"/>
  <c r="N347"/>
  <c r="N348"/>
  <c r="N353"/>
  <c r="N361"/>
  <c r="N363"/>
  <c r="N364"/>
  <c r="N365"/>
  <c r="N368"/>
  <c r="N370"/>
  <c r="N371"/>
  <c r="N379"/>
  <c r="N382"/>
  <c r="N385"/>
  <c r="N386"/>
  <c r="N396"/>
  <c r="N397"/>
  <c r="N398"/>
  <c r="N399"/>
  <c r="N403"/>
  <c r="N404"/>
  <c r="N408"/>
  <c r="N413"/>
  <c r="N414"/>
  <c r="N419"/>
  <c r="N434"/>
  <c r="N435"/>
  <c r="N439"/>
  <c r="N443"/>
  <c r="N444"/>
  <c r="N449"/>
  <c r="N450"/>
  <c r="N464"/>
  <c r="N469"/>
  <c r="N473"/>
  <c r="N475"/>
  <c r="N490"/>
  <c r="N494"/>
  <c r="N496"/>
  <c r="N501"/>
  <c r="N505"/>
  <c r="I382"/>
  <c r="I381" s="1"/>
  <c r="I380" s="1"/>
  <c r="J381"/>
  <c r="J380" s="1"/>
  <c r="N380" s="1"/>
  <c r="H381"/>
  <c r="H380" s="1"/>
  <c r="F84" i="17"/>
  <c r="G84"/>
  <c r="F85"/>
  <c r="G85"/>
  <c r="E85"/>
  <c r="E84"/>
  <c r="I384" i="11"/>
  <c r="I383" s="1"/>
  <c r="J384"/>
  <c r="J383" s="1"/>
  <c r="N383" s="1"/>
  <c r="H384"/>
  <c r="H383" s="1"/>
  <c r="H374"/>
  <c r="H399"/>
  <c r="H379"/>
  <c r="J377"/>
  <c r="N377" s="1"/>
  <c r="I377"/>
  <c r="H377"/>
  <c r="J367"/>
  <c r="N367" s="1"/>
  <c r="I367"/>
  <c r="H367"/>
  <c r="H499"/>
  <c r="I20" i="36"/>
  <c r="E17" i="35" l="1"/>
  <c r="E28"/>
  <c r="F28"/>
  <c r="H877" i="11"/>
  <c r="H876" s="1"/>
  <c r="H875" s="1"/>
  <c r="N381"/>
  <c r="F81" i="17"/>
  <c r="F80" s="1"/>
  <c r="F79" s="1"/>
  <c r="N384" i="11"/>
  <c r="E83" i="17"/>
  <c r="E82" s="1"/>
  <c r="F83"/>
  <c r="F82" s="1"/>
  <c r="G83"/>
  <c r="G82" s="1"/>
  <c r="H20" i="26" l="1"/>
  <c r="I20"/>
  <c r="J20" i="25"/>
  <c r="K20"/>
  <c r="J205" i="11"/>
  <c r="I205"/>
  <c r="F551" i="17" l="1"/>
  <c r="F550" s="1"/>
  <c r="G551"/>
  <c r="G550" s="1"/>
  <c r="E551"/>
  <c r="E550" s="1"/>
  <c r="H398" i="11"/>
  <c r="H491"/>
  <c r="H490"/>
  <c r="J1047"/>
  <c r="I1047"/>
  <c r="H1047"/>
  <c r="H1161"/>
  <c r="H205"/>
  <c r="J1383" l="1"/>
  <c r="H15" i="25" l="1"/>
  <c r="G15"/>
  <c r="H1151" i="11" l="1"/>
  <c r="F103" i="17"/>
  <c r="G103"/>
  <c r="E103"/>
  <c r="F101"/>
  <c r="G101"/>
  <c r="E101"/>
  <c r="F99"/>
  <c r="G99"/>
  <c r="E99"/>
  <c r="I1312" i="11"/>
  <c r="I1310"/>
  <c r="J1310"/>
  <c r="H1310"/>
  <c r="I1308"/>
  <c r="J1308"/>
  <c r="H1308"/>
  <c r="H1301"/>
  <c r="H1299"/>
  <c r="F636" i="17"/>
  <c r="G636"/>
  <c r="E636"/>
  <c r="F255"/>
  <c r="G255"/>
  <c r="F257"/>
  <c r="F256" s="1"/>
  <c r="G257"/>
  <c r="G256" s="1"/>
  <c r="E257"/>
  <c r="E255"/>
  <c r="F94"/>
  <c r="G94"/>
  <c r="F92"/>
  <c r="G92"/>
  <c r="H1154" i="11"/>
  <c r="G6" i="36"/>
  <c r="G6" i="26"/>
  <c r="H848" i="11"/>
  <c r="I6" i="25"/>
  <c r="F375" i="17"/>
  <c r="G375"/>
  <c r="E375"/>
  <c r="F62"/>
  <c r="G62"/>
  <c r="E62"/>
  <c r="J848" i="11"/>
  <c r="I848"/>
  <c r="J851"/>
  <c r="I851"/>
  <c r="H851"/>
  <c r="H197"/>
  <c r="F879" i="17"/>
  <c r="F878" s="1"/>
  <c r="G879"/>
  <c r="G878" s="1"/>
  <c r="H3" i="25"/>
  <c r="H191" i="11"/>
  <c r="E879" i="17" s="1"/>
  <c r="E878" s="1"/>
  <c r="J190" i="11"/>
  <c r="J189" s="1"/>
  <c r="J188" s="1"/>
  <c r="I190"/>
  <c r="I189" s="1"/>
  <c r="I188" s="1"/>
  <c r="J14"/>
  <c r="I14"/>
  <c r="H14"/>
  <c r="H190" l="1"/>
  <c r="H189" s="1"/>
  <c r="H188" s="1"/>
  <c r="H1066" l="1"/>
  <c r="H1002"/>
  <c r="J594"/>
  <c r="J1254"/>
  <c r="I1383"/>
  <c r="H1373"/>
  <c r="J1332"/>
  <c r="I1332"/>
  <c r="H1332"/>
  <c r="F842" i="17"/>
  <c r="F841" s="1"/>
  <c r="G842"/>
  <c r="G841" s="1"/>
  <c r="E842"/>
  <c r="E841" s="1"/>
  <c r="H1288" i="11"/>
  <c r="H1287" s="1"/>
  <c r="H1286" s="1"/>
  <c r="H1285" s="1"/>
  <c r="H1284" s="1"/>
  <c r="H1119"/>
  <c r="H1118" s="1"/>
  <c r="H1117" s="1"/>
  <c r="E881" i="17" l="1"/>
  <c r="E880" s="1"/>
  <c r="H1116" i="11"/>
  <c r="H1184" l="1"/>
  <c r="H1194"/>
  <c r="J1190"/>
  <c r="I1190"/>
  <c r="H1190"/>
  <c r="J1132"/>
  <c r="I1132"/>
  <c r="H1132"/>
  <c r="J1126"/>
  <c r="I1126"/>
  <c r="H1126"/>
  <c r="F592" i="17"/>
  <c r="G592"/>
  <c r="E592"/>
  <c r="H1143" i="11"/>
  <c r="H947"/>
  <c r="E256" i="17" l="1"/>
  <c r="J463" i="11" l="1"/>
  <c r="N463" s="1"/>
  <c r="I463"/>
  <c r="J326"/>
  <c r="N326" s="1"/>
  <c r="I326"/>
  <c r="H326"/>
  <c r="J895"/>
  <c r="I895"/>
  <c r="H895"/>
  <c r="J842"/>
  <c r="I842"/>
  <c r="H842"/>
  <c r="J825"/>
  <c r="I825"/>
  <c r="H825"/>
  <c r="R634"/>
  <c r="S634"/>
  <c r="T634"/>
  <c r="J633"/>
  <c r="J632" s="1"/>
  <c r="I633"/>
  <c r="I632" s="1"/>
  <c r="H633"/>
  <c r="I627"/>
  <c r="J627"/>
  <c r="J628"/>
  <c r="I628"/>
  <c r="H628"/>
  <c r="N628" s="1"/>
  <c r="H627"/>
  <c r="N627" s="1"/>
  <c r="H607"/>
  <c r="N607" s="1"/>
  <c r="H606"/>
  <c r="N606" s="1"/>
  <c r="J593"/>
  <c r="I593"/>
  <c r="I594"/>
  <c r="H594"/>
  <c r="N594" s="1"/>
  <c r="H593"/>
  <c r="N593" s="1"/>
  <c r="H588"/>
  <c r="N588" s="1"/>
  <c r="H589"/>
  <c r="N589" s="1"/>
  <c r="J564"/>
  <c r="I564"/>
  <c r="H564"/>
  <c r="N564" s="1"/>
  <c r="J520"/>
  <c r="I520"/>
  <c r="H520"/>
  <c r="N520" s="1"/>
  <c r="J519"/>
  <c r="I519"/>
  <c r="H519"/>
  <c r="N519" s="1"/>
  <c r="H463"/>
  <c r="J479"/>
  <c r="N479" s="1"/>
  <c r="I479"/>
  <c r="H479"/>
  <c r="J467"/>
  <c r="N467" s="1"/>
  <c r="I467"/>
  <c r="H467"/>
  <c r="J426"/>
  <c r="N426" s="1"/>
  <c r="I426"/>
  <c r="H426"/>
  <c r="J425"/>
  <c r="N425" s="1"/>
  <c r="I425"/>
  <c r="H425"/>
  <c r="J360"/>
  <c r="N360" s="1"/>
  <c r="I360"/>
  <c r="H360"/>
  <c r="J359"/>
  <c r="N359" s="1"/>
  <c r="I359"/>
  <c r="H359"/>
  <c r="J325"/>
  <c r="N325" s="1"/>
  <c r="I325"/>
  <c r="H325"/>
  <c r="H632" l="1"/>
  <c r="N632" s="1"/>
  <c r="N633"/>
  <c r="J429"/>
  <c r="N429" s="1"/>
  <c r="J374"/>
  <c r="N374" s="1"/>
  <c r="J375"/>
  <c r="N375" s="1"/>
  <c r="J336"/>
  <c r="N336" s="1"/>
  <c r="J274"/>
  <c r="I274"/>
  <c r="H274"/>
  <c r="T188"/>
  <c r="T189"/>
  <c r="T190"/>
  <c r="S191"/>
  <c r="T191"/>
  <c r="R191"/>
  <c r="S188"/>
  <c r="H177"/>
  <c r="J117"/>
  <c r="I117"/>
  <c r="H117"/>
  <c r="J54"/>
  <c r="I54"/>
  <c r="H54"/>
  <c r="H12"/>
  <c r="R188" l="1"/>
  <c r="S190"/>
  <c r="S189"/>
  <c r="G35" i="36"/>
  <c r="G24"/>
  <c r="F25"/>
  <c r="G24" i="26"/>
  <c r="G20" i="36"/>
  <c r="G30" s="1"/>
  <c r="G29" s="1"/>
  <c r="F25" i="26"/>
  <c r="G20"/>
  <c r="G30" s="1"/>
  <c r="G29" s="1"/>
  <c r="H37" i="25"/>
  <c r="H35" s="1"/>
  <c r="I35"/>
  <c r="G35"/>
  <c r="H24"/>
  <c r="I24"/>
  <c r="G20"/>
  <c r="G26" s="1"/>
  <c r="H20"/>
  <c r="H30" s="1"/>
  <c r="I20"/>
  <c r="I30" s="1"/>
  <c r="I29" s="1"/>
  <c r="G34" i="36" l="1"/>
  <c r="I34" i="25"/>
  <c r="J25" i="26"/>
  <c r="G34"/>
  <c r="G24" i="25"/>
  <c r="G31"/>
  <c r="R190" i="11"/>
  <c r="R189"/>
  <c r="H29" i="25"/>
  <c r="H34" s="1"/>
  <c r="G29" l="1"/>
  <c r="G34" s="1"/>
  <c r="Q8" i="17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Q45"/>
  <c r="R45"/>
  <c r="S45"/>
  <c r="Q46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Q57"/>
  <c r="R57"/>
  <c r="S57"/>
  <c r="Q58"/>
  <c r="R58"/>
  <c r="S58"/>
  <c r="Q59"/>
  <c r="R59"/>
  <c r="S59"/>
  <c r="Q60"/>
  <c r="R60"/>
  <c r="S60"/>
  <c r="Q61"/>
  <c r="R61"/>
  <c r="S61"/>
  <c r="Q62"/>
  <c r="R62"/>
  <c r="S62"/>
  <c r="Q63"/>
  <c r="R63"/>
  <c r="S63"/>
  <c r="Q64"/>
  <c r="R64"/>
  <c r="S64"/>
  <c r="Q65"/>
  <c r="R65"/>
  <c r="S65"/>
  <c r="Q66"/>
  <c r="R66"/>
  <c r="S66"/>
  <c r="Q67"/>
  <c r="R67"/>
  <c r="S67"/>
  <c r="Q68"/>
  <c r="R68"/>
  <c r="S68"/>
  <c r="Q69"/>
  <c r="R69"/>
  <c r="S69"/>
  <c r="Q70"/>
  <c r="R70"/>
  <c r="S70"/>
  <c r="Q71"/>
  <c r="R71"/>
  <c r="S71"/>
  <c r="Q72"/>
  <c r="R72"/>
  <c r="S72"/>
  <c r="Q73"/>
  <c r="R73"/>
  <c r="S73"/>
  <c r="Q74"/>
  <c r="R74"/>
  <c r="S74"/>
  <c r="Q75"/>
  <c r="R75"/>
  <c r="S75"/>
  <c r="Q76"/>
  <c r="R76"/>
  <c r="S76"/>
  <c r="Q77"/>
  <c r="R77"/>
  <c r="S77"/>
  <c r="Q78"/>
  <c r="R78"/>
  <c r="S78"/>
  <c r="Q86"/>
  <c r="R86"/>
  <c r="S86"/>
  <c r="Q87"/>
  <c r="R87"/>
  <c r="S87"/>
  <c r="Q88"/>
  <c r="R88"/>
  <c r="S88"/>
  <c r="Q89"/>
  <c r="R89"/>
  <c r="S89"/>
  <c r="Q91"/>
  <c r="R91"/>
  <c r="S91"/>
  <c r="Q92"/>
  <c r="R92"/>
  <c r="S92"/>
  <c r="Q93"/>
  <c r="R93"/>
  <c r="S93"/>
  <c r="Q94"/>
  <c r="R94"/>
  <c r="S94"/>
  <c r="Q95"/>
  <c r="R95"/>
  <c r="S95"/>
  <c r="U95"/>
  <c r="V95"/>
  <c r="Q97"/>
  <c r="R97"/>
  <c r="S97"/>
  <c r="Q98"/>
  <c r="R98"/>
  <c r="S98"/>
  <c r="Q99"/>
  <c r="R99"/>
  <c r="S99"/>
  <c r="Q100"/>
  <c r="R100"/>
  <c r="S100"/>
  <c r="Q101"/>
  <c r="R101"/>
  <c r="S101"/>
  <c r="Q102"/>
  <c r="R102"/>
  <c r="S102"/>
  <c r="Q103"/>
  <c r="R103"/>
  <c r="S103"/>
  <c r="Q104"/>
  <c r="R104"/>
  <c r="S104"/>
  <c r="T104"/>
  <c r="U104"/>
  <c r="V104"/>
  <c r="Q105"/>
  <c r="R105"/>
  <c r="S105"/>
  <c r="Q106"/>
  <c r="R106"/>
  <c r="S106"/>
  <c r="Q107"/>
  <c r="R107"/>
  <c r="S107"/>
  <c r="Q108"/>
  <c r="R108"/>
  <c r="S108"/>
  <c r="Q109"/>
  <c r="R109"/>
  <c r="S109"/>
  <c r="Q110"/>
  <c r="R110"/>
  <c r="S110"/>
  <c r="T110"/>
  <c r="U110"/>
  <c r="V110"/>
  <c r="Q111"/>
  <c r="R111"/>
  <c r="S111"/>
  <c r="Q112"/>
  <c r="R112"/>
  <c r="S112"/>
  <c r="Q113"/>
  <c r="R113"/>
  <c r="S113"/>
  <c r="Q114"/>
  <c r="R114"/>
  <c r="S114"/>
  <c r="Q115"/>
  <c r="R115"/>
  <c r="S115"/>
  <c r="Q116"/>
  <c r="R116"/>
  <c r="S116"/>
  <c r="Q117"/>
  <c r="R117"/>
  <c r="S117"/>
  <c r="Q118"/>
  <c r="R118"/>
  <c r="S118"/>
  <c r="Q119"/>
  <c r="R119"/>
  <c r="S119"/>
  <c r="Q120"/>
  <c r="R120"/>
  <c r="S120"/>
  <c r="Q121"/>
  <c r="R121"/>
  <c r="S121"/>
  <c r="Q122"/>
  <c r="R122"/>
  <c r="S122"/>
  <c r="Q123"/>
  <c r="R123"/>
  <c r="S123"/>
  <c r="Q124"/>
  <c r="R124"/>
  <c r="S124"/>
  <c r="Q125"/>
  <c r="R125"/>
  <c r="S125"/>
  <c r="S126"/>
  <c r="S127"/>
  <c r="S128"/>
  <c r="Q129"/>
  <c r="R129"/>
  <c r="S129"/>
  <c r="Q130"/>
  <c r="R130"/>
  <c r="S130"/>
  <c r="Q131"/>
  <c r="R131"/>
  <c r="S131"/>
  <c r="Q132"/>
  <c r="R132"/>
  <c r="S132"/>
  <c r="Q133"/>
  <c r="R133"/>
  <c r="S133"/>
  <c r="Q134"/>
  <c r="R134"/>
  <c r="S134"/>
  <c r="Q135"/>
  <c r="R135"/>
  <c r="S135"/>
  <c r="Q136"/>
  <c r="R136"/>
  <c r="S136"/>
  <c r="Q137"/>
  <c r="R137"/>
  <c r="S137"/>
  <c r="Q138"/>
  <c r="R138"/>
  <c r="S138"/>
  <c r="Q139"/>
  <c r="R139"/>
  <c r="S139"/>
  <c r="Q140"/>
  <c r="R140"/>
  <c r="S140"/>
  <c r="Q141"/>
  <c r="R141"/>
  <c r="S141"/>
  <c r="Q142"/>
  <c r="R142"/>
  <c r="S142"/>
  <c r="Q143"/>
  <c r="R143"/>
  <c r="S143"/>
  <c r="Q144"/>
  <c r="R144"/>
  <c r="S144"/>
  <c r="Q145"/>
  <c r="R145"/>
  <c r="S145"/>
  <c r="Q146"/>
  <c r="R146"/>
  <c r="S146"/>
  <c r="Q147"/>
  <c r="R147"/>
  <c r="S147"/>
  <c r="Q148"/>
  <c r="R148"/>
  <c r="S148"/>
  <c r="Q149"/>
  <c r="R149"/>
  <c r="S149"/>
  <c r="Q150"/>
  <c r="R150"/>
  <c r="S150"/>
  <c r="Q151"/>
  <c r="R151"/>
  <c r="S151"/>
  <c r="Q152"/>
  <c r="R152"/>
  <c r="S152"/>
  <c r="Q153"/>
  <c r="R153"/>
  <c r="S153"/>
  <c r="Q154"/>
  <c r="R154"/>
  <c r="S154"/>
  <c r="Q155"/>
  <c r="R155"/>
  <c r="S155"/>
  <c r="Q156"/>
  <c r="R156"/>
  <c r="S156"/>
  <c r="Q157"/>
  <c r="R157"/>
  <c r="S157"/>
  <c r="Q158"/>
  <c r="R158"/>
  <c r="S158"/>
  <c r="Q159"/>
  <c r="R159"/>
  <c r="S159"/>
  <c r="Q160"/>
  <c r="R160"/>
  <c r="S160"/>
  <c r="Q161"/>
  <c r="R161"/>
  <c r="S161"/>
  <c r="Q162"/>
  <c r="R162"/>
  <c r="S162"/>
  <c r="Q163"/>
  <c r="R163"/>
  <c r="S163"/>
  <c r="Q164"/>
  <c r="R164"/>
  <c r="S164"/>
  <c r="Q165"/>
  <c r="R165"/>
  <c r="S165"/>
  <c r="Q166"/>
  <c r="R166"/>
  <c r="S166"/>
  <c r="Q167"/>
  <c r="R167"/>
  <c r="S167"/>
  <c r="Q168"/>
  <c r="R168"/>
  <c r="S168"/>
  <c r="Q169"/>
  <c r="R169"/>
  <c r="S169"/>
  <c r="Q170"/>
  <c r="R170"/>
  <c r="S170"/>
  <c r="Q171"/>
  <c r="R171"/>
  <c r="S171"/>
  <c r="Q172"/>
  <c r="R172"/>
  <c r="S172"/>
  <c r="Q173"/>
  <c r="R173"/>
  <c r="S173"/>
  <c r="Q174"/>
  <c r="R174"/>
  <c r="S174"/>
  <c r="Q175"/>
  <c r="R175"/>
  <c r="S175"/>
  <c r="Q176"/>
  <c r="R176"/>
  <c r="S176"/>
  <c r="Q177"/>
  <c r="R177"/>
  <c r="S177"/>
  <c r="Q178"/>
  <c r="R178"/>
  <c r="S178"/>
  <c r="Q179"/>
  <c r="R179"/>
  <c r="S179"/>
  <c r="Q180"/>
  <c r="R180"/>
  <c r="S180"/>
  <c r="Q181"/>
  <c r="R181"/>
  <c r="S181"/>
  <c r="Q182"/>
  <c r="R182"/>
  <c r="S182"/>
  <c r="Q183"/>
  <c r="R183"/>
  <c r="S183"/>
  <c r="Q184"/>
  <c r="R184"/>
  <c r="S184"/>
  <c r="Q185"/>
  <c r="R185"/>
  <c r="S185"/>
  <c r="Q186"/>
  <c r="R186"/>
  <c r="S186"/>
  <c r="Q187"/>
  <c r="R187"/>
  <c r="S187"/>
  <c r="Q188"/>
  <c r="R188"/>
  <c r="S188"/>
  <c r="Q189"/>
  <c r="R189"/>
  <c r="S189"/>
  <c r="Q190"/>
  <c r="R190"/>
  <c r="S190"/>
  <c r="Q191"/>
  <c r="R191"/>
  <c r="S191"/>
  <c r="Q192"/>
  <c r="R192"/>
  <c r="S192"/>
  <c r="Q193"/>
  <c r="R193"/>
  <c r="S193"/>
  <c r="Q194"/>
  <c r="R194"/>
  <c r="S194"/>
  <c r="Q195"/>
  <c r="R195"/>
  <c r="S195"/>
  <c r="Q196"/>
  <c r="R196"/>
  <c r="S196"/>
  <c r="Q197"/>
  <c r="R197"/>
  <c r="S197"/>
  <c r="Q198"/>
  <c r="R198"/>
  <c r="S198"/>
  <c r="Q199"/>
  <c r="R199"/>
  <c r="S199"/>
  <c r="Q200"/>
  <c r="R200"/>
  <c r="S200"/>
  <c r="Q201"/>
  <c r="R201"/>
  <c r="S201"/>
  <c r="Q202"/>
  <c r="R202"/>
  <c r="S202"/>
  <c r="Q203"/>
  <c r="R203"/>
  <c r="S203"/>
  <c r="Q204"/>
  <c r="R204"/>
  <c r="S204"/>
  <c r="Q205"/>
  <c r="R205"/>
  <c r="S205"/>
  <c r="Q206"/>
  <c r="R206"/>
  <c r="S206"/>
  <c r="Q207"/>
  <c r="R207"/>
  <c r="S207"/>
  <c r="Q208"/>
  <c r="R208"/>
  <c r="S208"/>
  <c r="Q209"/>
  <c r="R209"/>
  <c r="S209"/>
  <c r="Q210"/>
  <c r="R210"/>
  <c r="S210"/>
  <c r="Q211"/>
  <c r="R211"/>
  <c r="S211"/>
  <c r="Q212"/>
  <c r="R212"/>
  <c r="S212"/>
  <c r="Q213"/>
  <c r="R213"/>
  <c r="S213"/>
  <c r="Q214"/>
  <c r="R214"/>
  <c r="S214"/>
  <c r="Q215"/>
  <c r="R215"/>
  <c r="S215"/>
  <c r="Q216"/>
  <c r="R216"/>
  <c r="S216"/>
  <c r="Q217"/>
  <c r="R217"/>
  <c r="S217"/>
  <c r="Q218"/>
  <c r="R218"/>
  <c r="S218"/>
  <c r="Q219"/>
  <c r="R219"/>
  <c r="S219"/>
  <c r="Q220"/>
  <c r="R220"/>
  <c r="S220"/>
  <c r="Q221"/>
  <c r="R221"/>
  <c r="S221"/>
  <c r="Q222"/>
  <c r="R222"/>
  <c r="S222"/>
  <c r="Q223"/>
  <c r="R223"/>
  <c r="S223"/>
  <c r="Q224"/>
  <c r="R224"/>
  <c r="S224"/>
  <c r="Q225"/>
  <c r="R225"/>
  <c r="S225"/>
  <c r="Q226"/>
  <c r="R226"/>
  <c r="S226"/>
  <c r="Q227"/>
  <c r="R227"/>
  <c r="S227"/>
  <c r="Q228"/>
  <c r="R228"/>
  <c r="S228"/>
  <c r="Q229"/>
  <c r="R229"/>
  <c r="S229"/>
  <c r="T229"/>
  <c r="U229"/>
  <c r="V229"/>
  <c r="Q230"/>
  <c r="R230"/>
  <c r="S230"/>
  <c r="Q231"/>
  <c r="R231"/>
  <c r="S231"/>
  <c r="Q232"/>
  <c r="R232"/>
  <c r="S232"/>
  <c r="Q233"/>
  <c r="R233"/>
  <c r="S233"/>
  <c r="Q234"/>
  <c r="R234"/>
  <c r="S234"/>
  <c r="Q235"/>
  <c r="R235"/>
  <c r="S235"/>
  <c r="Q236"/>
  <c r="R236"/>
  <c r="S236"/>
  <c r="Q237"/>
  <c r="R237"/>
  <c r="S237"/>
  <c r="Q238"/>
  <c r="R238"/>
  <c r="S238"/>
  <c r="Q239"/>
  <c r="R239"/>
  <c r="S239"/>
  <c r="Q240"/>
  <c r="R240"/>
  <c r="S240"/>
  <c r="Q241"/>
  <c r="R241"/>
  <c r="S241"/>
  <c r="Q242"/>
  <c r="R242"/>
  <c r="S242"/>
  <c r="Q243"/>
  <c r="R243"/>
  <c r="S243"/>
  <c r="Q244"/>
  <c r="R244"/>
  <c r="S244"/>
  <c r="Q245"/>
  <c r="R245"/>
  <c r="S245"/>
  <c r="Q246"/>
  <c r="R246"/>
  <c r="S246"/>
  <c r="Q247"/>
  <c r="R247"/>
  <c r="S247"/>
  <c r="Q248"/>
  <c r="R248"/>
  <c r="S248"/>
  <c r="Q249"/>
  <c r="R249"/>
  <c r="S249"/>
  <c r="Q250"/>
  <c r="R250"/>
  <c r="S250"/>
  <c r="Q251"/>
  <c r="R251"/>
  <c r="S251"/>
  <c r="Q252"/>
  <c r="R252"/>
  <c r="S252"/>
  <c r="U252"/>
  <c r="V252"/>
  <c r="Q253"/>
  <c r="R253"/>
  <c r="S253"/>
  <c r="U253"/>
  <c r="V253"/>
  <c r="Q254"/>
  <c r="R254"/>
  <c r="S254"/>
  <c r="Q255"/>
  <c r="R255"/>
  <c r="S255"/>
  <c r="Q258"/>
  <c r="R258"/>
  <c r="S258"/>
  <c r="R259"/>
  <c r="S259"/>
  <c r="Q260"/>
  <c r="R260"/>
  <c r="S260"/>
  <c r="Q261"/>
  <c r="R261"/>
  <c r="S261"/>
  <c r="Q262"/>
  <c r="R262"/>
  <c r="S262"/>
  <c r="Q263"/>
  <c r="R263"/>
  <c r="S263"/>
  <c r="Q264"/>
  <c r="R264"/>
  <c r="S264"/>
  <c r="Q265"/>
  <c r="R265"/>
  <c r="S265"/>
  <c r="Q266"/>
  <c r="R266"/>
  <c r="S266"/>
  <c r="Q267"/>
  <c r="R267"/>
  <c r="S267"/>
  <c r="Q268"/>
  <c r="R268"/>
  <c r="S268"/>
  <c r="Q269"/>
  <c r="R269"/>
  <c r="S269"/>
  <c r="Q270"/>
  <c r="R270"/>
  <c r="S270"/>
  <c r="Q271"/>
  <c r="R271"/>
  <c r="S271"/>
  <c r="Q272"/>
  <c r="R272"/>
  <c r="S272"/>
  <c r="Q273"/>
  <c r="R273"/>
  <c r="S273"/>
  <c r="Q274"/>
  <c r="R274"/>
  <c r="S274"/>
  <c r="Q275"/>
  <c r="R275"/>
  <c r="S275"/>
  <c r="Q276"/>
  <c r="R276"/>
  <c r="S276"/>
  <c r="Q277"/>
  <c r="R277"/>
  <c r="S277"/>
  <c r="Q278"/>
  <c r="R278"/>
  <c r="S278"/>
  <c r="Q279"/>
  <c r="R279"/>
  <c r="S279"/>
  <c r="Q280"/>
  <c r="R280"/>
  <c r="S280"/>
  <c r="Q281"/>
  <c r="R281"/>
  <c r="S281"/>
  <c r="Q282"/>
  <c r="R282"/>
  <c r="S282"/>
  <c r="Q283"/>
  <c r="R283"/>
  <c r="S283"/>
  <c r="Q284"/>
  <c r="R284"/>
  <c r="S284"/>
  <c r="Q285"/>
  <c r="R285"/>
  <c r="S285"/>
  <c r="Q286"/>
  <c r="R286"/>
  <c r="S286"/>
  <c r="Q287"/>
  <c r="R287"/>
  <c r="S287"/>
  <c r="Q288"/>
  <c r="R288"/>
  <c r="S288"/>
  <c r="Q289"/>
  <c r="R289"/>
  <c r="S289"/>
  <c r="T289"/>
  <c r="U289"/>
  <c r="V289"/>
  <c r="Q290"/>
  <c r="R290"/>
  <c r="S290"/>
  <c r="Q291"/>
  <c r="R291"/>
  <c r="S291"/>
  <c r="Q292"/>
  <c r="R292"/>
  <c r="S292"/>
  <c r="Q293"/>
  <c r="R293"/>
  <c r="S293"/>
  <c r="Q294"/>
  <c r="R294"/>
  <c r="S294"/>
  <c r="Q295"/>
  <c r="R295"/>
  <c r="S295"/>
  <c r="Q296"/>
  <c r="R296"/>
  <c r="S296"/>
  <c r="Q297"/>
  <c r="R297"/>
  <c r="S297"/>
  <c r="U297"/>
  <c r="V297"/>
  <c r="Q298"/>
  <c r="R298"/>
  <c r="S298"/>
  <c r="U298"/>
  <c r="V298"/>
  <c r="Q299"/>
  <c r="R299"/>
  <c r="S299"/>
  <c r="U299"/>
  <c r="V299"/>
  <c r="Q300"/>
  <c r="R300"/>
  <c r="S300"/>
  <c r="U300"/>
  <c r="V300"/>
  <c r="Q301"/>
  <c r="R301"/>
  <c r="S301"/>
  <c r="U301"/>
  <c r="V301"/>
  <c r="Q302"/>
  <c r="R302"/>
  <c r="S302"/>
  <c r="U302"/>
  <c r="V302"/>
  <c r="Q303"/>
  <c r="R303"/>
  <c r="S303"/>
  <c r="Q304"/>
  <c r="R304"/>
  <c r="S304"/>
  <c r="Q305"/>
  <c r="R305"/>
  <c r="S305"/>
  <c r="Q306"/>
  <c r="R306"/>
  <c r="S306"/>
  <c r="Q307"/>
  <c r="R307"/>
  <c r="S307"/>
  <c r="Q308"/>
  <c r="R308"/>
  <c r="S308"/>
  <c r="Q309"/>
  <c r="R309"/>
  <c r="S309"/>
  <c r="Q310"/>
  <c r="R310"/>
  <c r="S310"/>
  <c r="Q311"/>
  <c r="R311"/>
  <c r="S311"/>
  <c r="U311"/>
  <c r="V311"/>
  <c r="Q312"/>
  <c r="R312"/>
  <c r="S312"/>
  <c r="U312"/>
  <c r="V312"/>
  <c r="Q313"/>
  <c r="R313"/>
  <c r="S313"/>
  <c r="U313"/>
  <c r="V313"/>
  <c r="Q314"/>
  <c r="R314"/>
  <c r="S314"/>
  <c r="U314"/>
  <c r="V314"/>
  <c r="Q315"/>
  <c r="R315"/>
  <c r="S315"/>
  <c r="U315"/>
  <c r="V315"/>
  <c r="Q316"/>
  <c r="R316"/>
  <c r="S316"/>
  <c r="U316"/>
  <c r="V316"/>
  <c r="Q317"/>
  <c r="R317"/>
  <c r="S317"/>
  <c r="T317"/>
  <c r="U317"/>
  <c r="V317"/>
  <c r="Q318"/>
  <c r="R318"/>
  <c r="S318"/>
  <c r="Q319"/>
  <c r="R319"/>
  <c r="S319"/>
  <c r="Q320"/>
  <c r="R320"/>
  <c r="S320"/>
  <c r="Q321"/>
  <c r="R321"/>
  <c r="S321"/>
  <c r="Q322"/>
  <c r="R322"/>
  <c r="S322"/>
  <c r="Q323"/>
  <c r="R323"/>
  <c r="S323"/>
  <c r="Q324"/>
  <c r="R324"/>
  <c r="S324"/>
  <c r="Q325"/>
  <c r="R325"/>
  <c r="S325"/>
  <c r="Q326"/>
  <c r="R326"/>
  <c r="S326"/>
  <c r="T326"/>
  <c r="U326"/>
  <c r="V326"/>
  <c r="Q327"/>
  <c r="R327"/>
  <c r="S327"/>
  <c r="Q328"/>
  <c r="R328"/>
  <c r="S328"/>
  <c r="Q329"/>
  <c r="R329"/>
  <c r="S329"/>
  <c r="Q330"/>
  <c r="R330"/>
  <c r="S330"/>
  <c r="Q331"/>
  <c r="R331"/>
  <c r="S331"/>
  <c r="Q332"/>
  <c r="R332"/>
  <c r="S332"/>
  <c r="T332"/>
  <c r="U332"/>
  <c r="V332"/>
  <c r="Q333"/>
  <c r="R333"/>
  <c r="S333"/>
  <c r="Q334"/>
  <c r="R334"/>
  <c r="S334"/>
  <c r="Q335"/>
  <c r="R335"/>
  <c r="S335"/>
  <c r="Q336"/>
  <c r="R336"/>
  <c r="S336"/>
  <c r="Q337"/>
  <c r="R337"/>
  <c r="S337"/>
  <c r="Q338"/>
  <c r="R338"/>
  <c r="S338"/>
  <c r="Q339"/>
  <c r="R339"/>
  <c r="S339"/>
  <c r="Q340"/>
  <c r="R340"/>
  <c r="S340"/>
  <c r="Q341"/>
  <c r="R341"/>
  <c r="S341"/>
  <c r="Q342"/>
  <c r="R342"/>
  <c r="S342"/>
  <c r="Q343"/>
  <c r="R343"/>
  <c r="S343"/>
  <c r="Q344"/>
  <c r="R344"/>
  <c r="S344"/>
  <c r="Q345"/>
  <c r="R345"/>
  <c r="S345"/>
  <c r="Q346"/>
  <c r="R346"/>
  <c r="S346"/>
  <c r="Q347"/>
  <c r="R347"/>
  <c r="S347"/>
  <c r="Q348"/>
  <c r="R348"/>
  <c r="S348"/>
  <c r="Q349"/>
  <c r="R349"/>
  <c r="S349"/>
  <c r="Q350"/>
  <c r="R350"/>
  <c r="S350"/>
  <c r="Q351"/>
  <c r="R351"/>
  <c r="S351"/>
  <c r="Q352"/>
  <c r="R352"/>
  <c r="S352"/>
  <c r="Q353"/>
  <c r="R353"/>
  <c r="S353"/>
  <c r="Q354"/>
  <c r="R354"/>
  <c r="S354"/>
  <c r="Q355"/>
  <c r="R355"/>
  <c r="S355"/>
  <c r="Q356"/>
  <c r="R356"/>
  <c r="S356"/>
  <c r="Q357"/>
  <c r="R357"/>
  <c r="S357"/>
  <c r="Q358"/>
  <c r="R358"/>
  <c r="S358"/>
  <c r="Q359"/>
  <c r="R359"/>
  <c r="S359"/>
  <c r="Q360"/>
  <c r="R360"/>
  <c r="S360"/>
  <c r="Q361"/>
  <c r="R361"/>
  <c r="S361"/>
  <c r="Q362"/>
  <c r="R362"/>
  <c r="S362"/>
  <c r="Q363"/>
  <c r="R363"/>
  <c r="S363"/>
  <c r="Q364"/>
  <c r="R364"/>
  <c r="S364"/>
  <c r="Q365"/>
  <c r="R365"/>
  <c r="S365"/>
  <c r="Q366"/>
  <c r="R366"/>
  <c r="S366"/>
  <c r="Q367"/>
  <c r="R367"/>
  <c r="S367"/>
  <c r="Q368"/>
  <c r="R368"/>
  <c r="S368"/>
  <c r="Q369"/>
  <c r="R369"/>
  <c r="S369"/>
  <c r="Q370"/>
  <c r="R370"/>
  <c r="S370"/>
  <c r="Q371"/>
  <c r="R371"/>
  <c r="S371"/>
  <c r="Q372"/>
  <c r="R372"/>
  <c r="S372"/>
  <c r="Q373"/>
  <c r="R373"/>
  <c r="S373"/>
  <c r="Q374"/>
  <c r="R374"/>
  <c r="S374"/>
  <c r="Q375"/>
  <c r="R375"/>
  <c r="S375"/>
  <c r="V375"/>
  <c r="Q376"/>
  <c r="R376"/>
  <c r="S376"/>
  <c r="U376"/>
  <c r="V376"/>
  <c r="Q377"/>
  <c r="R377"/>
  <c r="S377"/>
  <c r="Q378"/>
  <c r="R378"/>
  <c r="S378"/>
  <c r="Q379"/>
  <c r="R379"/>
  <c r="S379"/>
  <c r="Q380"/>
  <c r="R380"/>
  <c r="S380"/>
  <c r="U380"/>
  <c r="V380"/>
  <c r="Q381"/>
  <c r="R381"/>
  <c r="S381"/>
  <c r="T381"/>
  <c r="U381"/>
  <c r="V381"/>
  <c r="Q382"/>
  <c r="R382"/>
  <c r="S382"/>
  <c r="Q383"/>
  <c r="R383"/>
  <c r="S383"/>
  <c r="Q384"/>
  <c r="R384"/>
  <c r="S384"/>
  <c r="Q385"/>
  <c r="R385"/>
  <c r="S385"/>
  <c r="Q386"/>
  <c r="R386"/>
  <c r="S386"/>
  <c r="Q387"/>
  <c r="R387"/>
  <c r="S387"/>
  <c r="Q388"/>
  <c r="R388"/>
  <c r="S388"/>
  <c r="Q389"/>
  <c r="R389"/>
  <c r="S389"/>
  <c r="Q390"/>
  <c r="R390"/>
  <c r="S390"/>
  <c r="Q391"/>
  <c r="R391"/>
  <c r="S391"/>
  <c r="Q392"/>
  <c r="R392"/>
  <c r="S392"/>
  <c r="Q393"/>
  <c r="R393"/>
  <c r="S393"/>
  <c r="Q394"/>
  <c r="R394"/>
  <c r="S394"/>
  <c r="Q395"/>
  <c r="R395"/>
  <c r="S395"/>
  <c r="Q398"/>
  <c r="R398"/>
  <c r="S398"/>
  <c r="Q399"/>
  <c r="R399"/>
  <c r="S399"/>
  <c r="Q400"/>
  <c r="R400"/>
  <c r="S400"/>
  <c r="Q401"/>
  <c r="R401"/>
  <c r="S401"/>
  <c r="Q402"/>
  <c r="R402"/>
  <c r="S402"/>
  <c r="Q403"/>
  <c r="R403"/>
  <c r="S403"/>
  <c r="Q404"/>
  <c r="R404"/>
  <c r="S404"/>
  <c r="Q405"/>
  <c r="R405"/>
  <c r="S405"/>
  <c r="Q406"/>
  <c r="R406"/>
  <c r="S406"/>
  <c r="Q407"/>
  <c r="R407"/>
  <c r="S407"/>
  <c r="Q408"/>
  <c r="R408"/>
  <c r="S408"/>
  <c r="Q409"/>
  <c r="R409"/>
  <c r="S409"/>
  <c r="Q410"/>
  <c r="R410"/>
  <c r="S410"/>
  <c r="Q411"/>
  <c r="R411"/>
  <c r="S411"/>
  <c r="R412"/>
  <c r="S412"/>
  <c r="R413"/>
  <c r="S413"/>
  <c r="Q414"/>
  <c r="R414"/>
  <c r="S414"/>
  <c r="T414"/>
  <c r="U414"/>
  <c r="V414"/>
  <c r="Q415"/>
  <c r="R415"/>
  <c r="S415"/>
  <c r="Q416"/>
  <c r="R416"/>
  <c r="S416"/>
  <c r="Q417"/>
  <c r="R417"/>
  <c r="S417"/>
  <c r="Q418"/>
  <c r="R418"/>
  <c r="S418"/>
  <c r="Q419"/>
  <c r="R419"/>
  <c r="S419"/>
  <c r="Q420"/>
  <c r="R420"/>
  <c r="S420"/>
  <c r="Q421"/>
  <c r="R421"/>
  <c r="S421"/>
  <c r="Q422"/>
  <c r="R422"/>
  <c r="S422"/>
  <c r="Q423"/>
  <c r="R423"/>
  <c r="S423"/>
  <c r="Q424"/>
  <c r="R424"/>
  <c r="S424"/>
  <c r="Q425"/>
  <c r="R425"/>
  <c r="S425"/>
  <c r="Q426"/>
  <c r="R426"/>
  <c r="S426"/>
  <c r="Q427"/>
  <c r="R427"/>
  <c r="S427"/>
  <c r="Q428"/>
  <c r="R428"/>
  <c r="S428"/>
  <c r="Q429"/>
  <c r="R429"/>
  <c r="S429"/>
  <c r="Q430"/>
  <c r="R430"/>
  <c r="S430"/>
  <c r="Q431"/>
  <c r="R431"/>
  <c r="S431"/>
  <c r="Q432"/>
  <c r="R432"/>
  <c r="S432"/>
  <c r="T432"/>
  <c r="U432"/>
  <c r="V432"/>
  <c r="Q433"/>
  <c r="R433"/>
  <c r="S433"/>
  <c r="Q434"/>
  <c r="R434"/>
  <c r="S434"/>
  <c r="Q435"/>
  <c r="R435"/>
  <c r="S435"/>
  <c r="Q436"/>
  <c r="R436"/>
  <c r="S436"/>
  <c r="Q437"/>
  <c r="R437"/>
  <c r="S437"/>
  <c r="Q438"/>
  <c r="R438"/>
  <c r="S438"/>
  <c r="T438"/>
  <c r="U438"/>
  <c r="V438"/>
  <c r="Q439"/>
  <c r="R439"/>
  <c r="S439"/>
  <c r="Q440"/>
  <c r="R440"/>
  <c r="S440"/>
  <c r="Q441"/>
  <c r="R441"/>
  <c r="S441"/>
  <c r="Q442"/>
  <c r="R442"/>
  <c r="S442"/>
  <c r="Q443"/>
  <c r="R443"/>
  <c r="S443"/>
  <c r="R444"/>
  <c r="S444"/>
  <c r="Q445"/>
  <c r="R445"/>
  <c r="S445"/>
  <c r="Q446"/>
  <c r="R446"/>
  <c r="S446"/>
  <c r="Q447"/>
  <c r="R447"/>
  <c r="S447"/>
  <c r="Q448"/>
  <c r="R448"/>
  <c r="S448"/>
  <c r="Q449"/>
  <c r="R449"/>
  <c r="S449"/>
  <c r="Q450"/>
  <c r="R450"/>
  <c r="S450"/>
  <c r="Q451"/>
  <c r="R451"/>
  <c r="S451"/>
  <c r="Q452"/>
  <c r="R452"/>
  <c r="S452"/>
  <c r="Q453"/>
  <c r="R453"/>
  <c r="S453"/>
  <c r="Q454"/>
  <c r="R454"/>
  <c r="S454"/>
  <c r="Q455"/>
  <c r="R455"/>
  <c r="S455"/>
  <c r="Q456"/>
  <c r="R456"/>
  <c r="S456"/>
  <c r="Q457"/>
  <c r="R457"/>
  <c r="S457"/>
  <c r="T457"/>
  <c r="U457"/>
  <c r="V457"/>
  <c r="Q458"/>
  <c r="R458"/>
  <c r="S458"/>
  <c r="Q459"/>
  <c r="R459"/>
  <c r="S459"/>
  <c r="Q460"/>
  <c r="R460"/>
  <c r="S460"/>
  <c r="Q461"/>
  <c r="R461"/>
  <c r="S461"/>
  <c r="Q462"/>
  <c r="R462"/>
  <c r="S462"/>
  <c r="Q463"/>
  <c r="R463"/>
  <c r="S463"/>
  <c r="Q464"/>
  <c r="R464"/>
  <c r="S464"/>
  <c r="Q465"/>
  <c r="R465"/>
  <c r="S465"/>
  <c r="Q466"/>
  <c r="R466"/>
  <c r="S466"/>
  <c r="Q467"/>
  <c r="R467"/>
  <c r="S467"/>
  <c r="Q468"/>
  <c r="R468"/>
  <c r="S468"/>
  <c r="Q469"/>
  <c r="R469"/>
  <c r="S469"/>
  <c r="Q470"/>
  <c r="R470"/>
  <c r="S470"/>
  <c r="Q471"/>
  <c r="R471"/>
  <c r="S471"/>
  <c r="Q472"/>
  <c r="R472"/>
  <c r="S472"/>
  <c r="Q473"/>
  <c r="R473"/>
  <c r="S473"/>
  <c r="Q474"/>
  <c r="R474"/>
  <c r="S474"/>
  <c r="Q475"/>
  <c r="R475"/>
  <c r="S475"/>
  <c r="Q476"/>
  <c r="R476"/>
  <c r="S476"/>
  <c r="Q477"/>
  <c r="R477"/>
  <c r="S477"/>
  <c r="Q478"/>
  <c r="R478"/>
  <c r="S478"/>
  <c r="Q479"/>
  <c r="R479"/>
  <c r="S479"/>
  <c r="Q480"/>
  <c r="R480"/>
  <c r="S480"/>
  <c r="Q481"/>
  <c r="R481"/>
  <c r="S481"/>
  <c r="Q482"/>
  <c r="R482"/>
  <c r="S482"/>
  <c r="Q483"/>
  <c r="R483"/>
  <c r="S483"/>
  <c r="Q484"/>
  <c r="R484"/>
  <c r="S484"/>
  <c r="Q485"/>
  <c r="R485"/>
  <c r="S485"/>
  <c r="Q486"/>
  <c r="R486"/>
  <c r="S486"/>
  <c r="Q487"/>
  <c r="R487"/>
  <c r="S487"/>
  <c r="Q488"/>
  <c r="R488"/>
  <c r="S488"/>
  <c r="Q489"/>
  <c r="R489"/>
  <c r="S489"/>
  <c r="Q490"/>
  <c r="R490"/>
  <c r="S490"/>
  <c r="Q491"/>
  <c r="R491"/>
  <c r="S491"/>
  <c r="Q492"/>
  <c r="R492"/>
  <c r="S492"/>
  <c r="Q493"/>
  <c r="R493"/>
  <c r="S493"/>
  <c r="Q494"/>
  <c r="R494"/>
  <c r="S494"/>
  <c r="Q495"/>
  <c r="R495"/>
  <c r="S495"/>
  <c r="Q496"/>
  <c r="R496"/>
  <c r="S496"/>
  <c r="Q497"/>
  <c r="R497"/>
  <c r="S497"/>
  <c r="Q498"/>
  <c r="R498"/>
  <c r="S498"/>
  <c r="Q499"/>
  <c r="R499"/>
  <c r="S499"/>
  <c r="Q500"/>
  <c r="R500"/>
  <c r="S500"/>
  <c r="Q501"/>
  <c r="R501"/>
  <c r="S501"/>
  <c r="Q502"/>
  <c r="R502"/>
  <c r="S502"/>
  <c r="Q503"/>
  <c r="R503"/>
  <c r="S503"/>
  <c r="Q504"/>
  <c r="R504"/>
  <c r="S504"/>
  <c r="Q505"/>
  <c r="R505"/>
  <c r="S505"/>
  <c r="Q506"/>
  <c r="R506"/>
  <c r="S506"/>
  <c r="T506"/>
  <c r="U506"/>
  <c r="V506"/>
  <c r="Q507"/>
  <c r="R507"/>
  <c r="S507"/>
  <c r="Q508"/>
  <c r="R508"/>
  <c r="S508"/>
  <c r="Q509"/>
  <c r="R509"/>
  <c r="S509"/>
  <c r="Q510"/>
  <c r="R510"/>
  <c r="S510"/>
  <c r="Q511"/>
  <c r="R511"/>
  <c r="S511"/>
  <c r="Q512"/>
  <c r="R512"/>
  <c r="S512"/>
  <c r="Q513"/>
  <c r="R513"/>
  <c r="S513"/>
  <c r="Q514"/>
  <c r="R514"/>
  <c r="S514"/>
  <c r="Q515"/>
  <c r="R515"/>
  <c r="S515"/>
  <c r="T515"/>
  <c r="U515"/>
  <c r="V515"/>
  <c r="Q516"/>
  <c r="R516"/>
  <c r="S516"/>
  <c r="Q517"/>
  <c r="R517"/>
  <c r="S517"/>
  <c r="Q518"/>
  <c r="R518"/>
  <c r="S518"/>
  <c r="Q519"/>
  <c r="R519"/>
  <c r="S519"/>
  <c r="Q520"/>
  <c r="R520"/>
  <c r="S520"/>
  <c r="Q521"/>
  <c r="R521"/>
  <c r="S521"/>
  <c r="Q522"/>
  <c r="R522"/>
  <c r="S522"/>
  <c r="Q523"/>
  <c r="R523"/>
  <c r="S523"/>
  <c r="Q524"/>
  <c r="R524"/>
  <c r="S524"/>
  <c r="Q525"/>
  <c r="R525"/>
  <c r="S525"/>
  <c r="Q526"/>
  <c r="R526"/>
  <c r="S526"/>
  <c r="Q527"/>
  <c r="R527"/>
  <c r="S527"/>
  <c r="Q528"/>
  <c r="R528"/>
  <c r="S528"/>
  <c r="Q529"/>
  <c r="R529"/>
  <c r="S529"/>
  <c r="Q530"/>
  <c r="R530"/>
  <c r="S530"/>
  <c r="T530"/>
  <c r="U530"/>
  <c r="V530"/>
  <c r="Q531"/>
  <c r="R531"/>
  <c r="S531"/>
  <c r="Q532"/>
  <c r="R532"/>
  <c r="S532"/>
  <c r="Q533"/>
  <c r="R533"/>
  <c r="S533"/>
  <c r="Q534"/>
  <c r="R534"/>
  <c r="S534"/>
  <c r="Q535"/>
  <c r="R535"/>
  <c r="S535"/>
  <c r="Q536"/>
  <c r="R536"/>
  <c r="S536"/>
  <c r="Q537"/>
  <c r="R537"/>
  <c r="S537"/>
  <c r="Q538"/>
  <c r="R538"/>
  <c r="S538"/>
  <c r="Q539"/>
  <c r="R539"/>
  <c r="S539"/>
  <c r="Q540"/>
  <c r="R540"/>
  <c r="S540"/>
  <c r="Q541"/>
  <c r="R541"/>
  <c r="S541"/>
  <c r="Q542"/>
  <c r="R542"/>
  <c r="S542"/>
  <c r="Q543"/>
  <c r="R543"/>
  <c r="S543"/>
  <c r="Q544"/>
  <c r="R544"/>
  <c r="S544"/>
  <c r="Q545"/>
  <c r="R545"/>
  <c r="S545"/>
  <c r="Q546"/>
  <c r="R546"/>
  <c r="S546"/>
  <c r="Q547"/>
  <c r="R547"/>
  <c r="S547"/>
  <c r="Q548"/>
  <c r="R548"/>
  <c r="S548"/>
  <c r="Q549"/>
  <c r="R549"/>
  <c r="S549"/>
  <c r="Q552"/>
  <c r="R552"/>
  <c r="S552"/>
  <c r="Q553"/>
  <c r="R553"/>
  <c r="S553"/>
  <c r="Q554"/>
  <c r="R554"/>
  <c r="S554"/>
  <c r="Q555"/>
  <c r="R555"/>
  <c r="S555"/>
  <c r="Q556"/>
  <c r="R556"/>
  <c r="S556"/>
  <c r="Q557"/>
  <c r="R557"/>
  <c r="S557"/>
  <c r="Q558"/>
  <c r="R558"/>
  <c r="S558"/>
  <c r="Q559"/>
  <c r="R559"/>
  <c r="S559"/>
  <c r="Q560"/>
  <c r="R560"/>
  <c r="S560"/>
  <c r="Q561"/>
  <c r="R561"/>
  <c r="S561"/>
  <c r="Q562"/>
  <c r="R562"/>
  <c r="S562"/>
  <c r="Q563"/>
  <c r="R563"/>
  <c r="S563"/>
  <c r="Q564"/>
  <c r="R564"/>
  <c r="S564"/>
  <c r="Q565"/>
  <c r="R565"/>
  <c r="S565"/>
  <c r="Q566"/>
  <c r="R566"/>
  <c r="S566"/>
  <c r="Q567"/>
  <c r="R567"/>
  <c r="S567"/>
  <c r="Q568"/>
  <c r="R568"/>
  <c r="S568"/>
  <c r="Q569"/>
  <c r="R569"/>
  <c r="S569"/>
  <c r="Q570"/>
  <c r="R570"/>
  <c r="S570"/>
  <c r="Q571"/>
  <c r="R571"/>
  <c r="S571"/>
  <c r="Q572"/>
  <c r="R572"/>
  <c r="S572"/>
  <c r="Q573"/>
  <c r="R573"/>
  <c r="S573"/>
  <c r="Q574"/>
  <c r="R574"/>
  <c r="S574"/>
  <c r="T574"/>
  <c r="U574"/>
  <c r="V574"/>
  <c r="Q575"/>
  <c r="R575"/>
  <c r="S575"/>
  <c r="Q576"/>
  <c r="R576"/>
  <c r="S576"/>
  <c r="Q577"/>
  <c r="R577"/>
  <c r="S577"/>
  <c r="Q578"/>
  <c r="R578"/>
  <c r="S578"/>
  <c r="Q579"/>
  <c r="R579"/>
  <c r="S579"/>
  <c r="Q580"/>
  <c r="R580"/>
  <c r="S580"/>
  <c r="Q581"/>
  <c r="R581"/>
  <c r="S581"/>
  <c r="Q582"/>
  <c r="R582"/>
  <c r="S582"/>
  <c r="Q583"/>
  <c r="R583"/>
  <c r="S583"/>
  <c r="Q584"/>
  <c r="R584"/>
  <c r="S584"/>
  <c r="Q585"/>
  <c r="R585"/>
  <c r="S585"/>
  <c r="Q586"/>
  <c r="R586"/>
  <c r="S586"/>
  <c r="Q587"/>
  <c r="R587"/>
  <c r="S587"/>
  <c r="Q588"/>
  <c r="R588"/>
  <c r="S588"/>
  <c r="Q589"/>
  <c r="R589"/>
  <c r="S589"/>
  <c r="Q590"/>
  <c r="R590"/>
  <c r="S590"/>
  <c r="Q591"/>
  <c r="R591"/>
  <c r="S591"/>
  <c r="Q592"/>
  <c r="R592"/>
  <c r="S592"/>
  <c r="Q593"/>
  <c r="R593"/>
  <c r="S593"/>
  <c r="Q594"/>
  <c r="R594"/>
  <c r="S594"/>
  <c r="Q595"/>
  <c r="R595"/>
  <c r="S595"/>
  <c r="Q596"/>
  <c r="R596"/>
  <c r="S596"/>
  <c r="Q597"/>
  <c r="R597"/>
  <c r="S597"/>
  <c r="Q598"/>
  <c r="R598"/>
  <c r="S598"/>
  <c r="Q599"/>
  <c r="R599"/>
  <c r="S599"/>
  <c r="Q600"/>
  <c r="R600"/>
  <c r="S600"/>
  <c r="Q601"/>
  <c r="R601"/>
  <c r="S601"/>
  <c r="Q602"/>
  <c r="R602"/>
  <c r="S602"/>
  <c r="Q603"/>
  <c r="R603"/>
  <c r="S603"/>
  <c r="Q604"/>
  <c r="R604"/>
  <c r="S604"/>
  <c r="Q605"/>
  <c r="R605"/>
  <c r="S605"/>
  <c r="Q606"/>
  <c r="R606"/>
  <c r="S606"/>
  <c r="Q607"/>
  <c r="R607"/>
  <c r="S607"/>
  <c r="Q608"/>
  <c r="R608"/>
  <c r="S608"/>
  <c r="Q609"/>
  <c r="R609"/>
  <c r="S609"/>
  <c r="Q610"/>
  <c r="R610"/>
  <c r="S610"/>
  <c r="Q611"/>
  <c r="R611"/>
  <c r="S611"/>
  <c r="Q612"/>
  <c r="R612"/>
  <c r="S612"/>
  <c r="T612"/>
  <c r="U612"/>
  <c r="V612"/>
  <c r="Q613"/>
  <c r="R613"/>
  <c r="S613"/>
  <c r="Q614"/>
  <c r="R614"/>
  <c r="S614"/>
  <c r="Q615"/>
  <c r="R615"/>
  <c r="S615"/>
  <c r="Q616"/>
  <c r="R616"/>
  <c r="S616"/>
  <c r="Q617"/>
  <c r="R617"/>
  <c r="S617"/>
  <c r="Q618"/>
  <c r="R618"/>
  <c r="S618"/>
  <c r="Q619"/>
  <c r="R619"/>
  <c r="S619"/>
  <c r="Q620"/>
  <c r="R620"/>
  <c r="S620"/>
  <c r="Q621"/>
  <c r="R621"/>
  <c r="S621"/>
  <c r="T621"/>
  <c r="U621"/>
  <c r="V621"/>
  <c r="Q622"/>
  <c r="R622"/>
  <c r="S622"/>
  <c r="Q623"/>
  <c r="R623"/>
  <c r="S623"/>
  <c r="Q624"/>
  <c r="R624"/>
  <c r="S624"/>
  <c r="Q625"/>
  <c r="R625"/>
  <c r="S625"/>
  <c r="Q626"/>
  <c r="R626"/>
  <c r="S626"/>
  <c r="Q627"/>
  <c r="R627"/>
  <c r="S627"/>
  <c r="Q628"/>
  <c r="R628"/>
  <c r="S628"/>
  <c r="Q629"/>
  <c r="R629"/>
  <c r="S629"/>
  <c r="Q630"/>
  <c r="R630"/>
  <c r="S630"/>
  <c r="T630"/>
  <c r="U630"/>
  <c r="V630"/>
  <c r="Q631"/>
  <c r="R631"/>
  <c r="S631"/>
  <c r="Q632"/>
  <c r="R632"/>
  <c r="S632"/>
  <c r="Q633"/>
  <c r="R633"/>
  <c r="S633"/>
  <c r="Q634"/>
  <c r="R634"/>
  <c r="S634"/>
  <c r="Q635"/>
  <c r="R635"/>
  <c r="S635"/>
  <c r="Q636"/>
  <c r="R636"/>
  <c r="S636"/>
  <c r="Q637"/>
  <c r="R637"/>
  <c r="S637"/>
  <c r="Q638"/>
  <c r="R638"/>
  <c r="S638"/>
  <c r="Q639"/>
  <c r="R639"/>
  <c r="S639"/>
  <c r="Q640"/>
  <c r="R640"/>
  <c r="S640"/>
  <c r="Q641"/>
  <c r="R641"/>
  <c r="S641"/>
  <c r="Q642"/>
  <c r="R642"/>
  <c r="S642"/>
  <c r="Q643"/>
  <c r="R643"/>
  <c r="S643"/>
  <c r="T643"/>
  <c r="U643"/>
  <c r="V643"/>
  <c r="Q644"/>
  <c r="R644"/>
  <c r="S644"/>
  <c r="Q645"/>
  <c r="R645"/>
  <c r="S645"/>
  <c r="Q646"/>
  <c r="R646"/>
  <c r="S646"/>
  <c r="Q647"/>
  <c r="R647"/>
  <c r="S647"/>
  <c r="Q648"/>
  <c r="R648"/>
  <c r="S648"/>
  <c r="Q649"/>
  <c r="R649"/>
  <c r="S649"/>
  <c r="Q650"/>
  <c r="R650"/>
  <c r="S650"/>
  <c r="Q651"/>
  <c r="R651"/>
  <c r="S651"/>
  <c r="Q652"/>
  <c r="R652"/>
  <c r="S652"/>
  <c r="Q653"/>
  <c r="R653"/>
  <c r="S653"/>
  <c r="Q654"/>
  <c r="R654"/>
  <c r="S654"/>
  <c r="Q655"/>
  <c r="R655"/>
  <c r="S655"/>
  <c r="Q656"/>
  <c r="R656"/>
  <c r="S656"/>
  <c r="Q657"/>
  <c r="R657"/>
  <c r="S657"/>
  <c r="Q658"/>
  <c r="R658"/>
  <c r="S658"/>
  <c r="Q659"/>
  <c r="R659"/>
  <c r="S659"/>
  <c r="Q660"/>
  <c r="R660"/>
  <c r="S660"/>
  <c r="Q661"/>
  <c r="R661"/>
  <c r="S661"/>
  <c r="Q662"/>
  <c r="R662"/>
  <c r="S662"/>
  <c r="Q663"/>
  <c r="R663"/>
  <c r="S663"/>
  <c r="Q664"/>
  <c r="R664"/>
  <c r="S664"/>
  <c r="T664"/>
  <c r="U664"/>
  <c r="V664"/>
  <c r="Q665"/>
  <c r="R665"/>
  <c r="S665"/>
  <c r="Q666"/>
  <c r="R666"/>
  <c r="S666"/>
  <c r="Q667"/>
  <c r="R667"/>
  <c r="S667"/>
  <c r="Q668"/>
  <c r="R668"/>
  <c r="S668"/>
  <c r="Q669"/>
  <c r="R669"/>
  <c r="S669"/>
  <c r="Q670"/>
  <c r="R670"/>
  <c r="S670"/>
  <c r="Q671"/>
  <c r="R671"/>
  <c r="S671"/>
  <c r="Q672"/>
  <c r="R672"/>
  <c r="S672"/>
  <c r="Q673"/>
  <c r="R673"/>
  <c r="S673"/>
  <c r="Q674"/>
  <c r="R674"/>
  <c r="S674"/>
  <c r="Q675"/>
  <c r="R675"/>
  <c r="S675"/>
  <c r="Q676"/>
  <c r="R676"/>
  <c r="S676"/>
  <c r="Q677"/>
  <c r="R677"/>
  <c r="S677"/>
  <c r="Q678"/>
  <c r="R678"/>
  <c r="S678"/>
  <c r="Q679"/>
  <c r="R679"/>
  <c r="S679"/>
  <c r="Q680"/>
  <c r="R680"/>
  <c r="S680"/>
  <c r="Q681"/>
  <c r="R681"/>
  <c r="S681"/>
  <c r="Q682"/>
  <c r="R682"/>
  <c r="S682"/>
  <c r="Q683"/>
  <c r="R683"/>
  <c r="S683"/>
  <c r="Q684"/>
  <c r="R684"/>
  <c r="S684"/>
  <c r="Q685"/>
  <c r="R685"/>
  <c r="S685"/>
  <c r="Q686"/>
  <c r="R686"/>
  <c r="S686"/>
  <c r="Q687"/>
  <c r="R687"/>
  <c r="S687"/>
  <c r="T687"/>
  <c r="U687"/>
  <c r="V687"/>
  <c r="Q688"/>
  <c r="R688"/>
  <c r="S688"/>
  <c r="Q689"/>
  <c r="R689"/>
  <c r="S689"/>
  <c r="Q690"/>
  <c r="R690"/>
  <c r="S690"/>
  <c r="Q691"/>
  <c r="R691"/>
  <c r="S691"/>
  <c r="Q692"/>
  <c r="R692"/>
  <c r="S692"/>
  <c r="Q693"/>
  <c r="R693"/>
  <c r="S693"/>
  <c r="Q694"/>
  <c r="R694"/>
  <c r="S694"/>
  <c r="Q695"/>
  <c r="R695"/>
  <c r="S695"/>
  <c r="Q696"/>
  <c r="R696"/>
  <c r="S696"/>
  <c r="T696"/>
  <c r="U696"/>
  <c r="V696"/>
  <c r="Q697"/>
  <c r="R697"/>
  <c r="S697"/>
  <c r="Q698"/>
  <c r="R698"/>
  <c r="S698"/>
  <c r="Q699"/>
  <c r="R699"/>
  <c r="S699"/>
  <c r="Q700"/>
  <c r="R700"/>
  <c r="S700"/>
  <c r="Q701"/>
  <c r="R701"/>
  <c r="S701"/>
  <c r="Q702"/>
  <c r="R702"/>
  <c r="S702"/>
  <c r="Q703"/>
  <c r="R703"/>
  <c r="S703"/>
  <c r="Q704"/>
  <c r="R704"/>
  <c r="S704"/>
  <c r="Q705"/>
  <c r="R705"/>
  <c r="S705"/>
  <c r="T705"/>
  <c r="U705"/>
  <c r="V705"/>
  <c r="Q706"/>
  <c r="R706"/>
  <c r="S706"/>
  <c r="Q707"/>
  <c r="R707"/>
  <c r="S707"/>
  <c r="Q708"/>
  <c r="R708"/>
  <c r="S708"/>
  <c r="Q709"/>
  <c r="R709"/>
  <c r="S709"/>
  <c r="Q710"/>
  <c r="R710"/>
  <c r="S710"/>
  <c r="Q711"/>
  <c r="R711"/>
  <c r="S711"/>
  <c r="Q712"/>
  <c r="R712"/>
  <c r="S712"/>
  <c r="Q713"/>
  <c r="R713"/>
  <c r="S713"/>
  <c r="Q714"/>
  <c r="R714"/>
  <c r="S714"/>
  <c r="T714"/>
  <c r="U714"/>
  <c r="V714"/>
  <c r="Q715"/>
  <c r="R715"/>
  <c r="S715"/>
  <c r="Q716"/>
  <c r="R716"/>
  <c r="S716"/>
  <c r="Q717"/>
  <c r="R717"/>
  <c r="S717"/>
  <c r="Q718"/>
  <c r="R718"/>
  <c r="S718"/>
  <c r="Q719"/>
  <c r="R719"/>
  <c r="S719"/>
  <c r="Q720"/>
  <c r="R720"/>
  <c r="S720"/>
  <c r="Q721"/>
  <c r="R721"/>
  <c r="S721"/>
  <c r="Q722"/>
  <c r="R722"/>
  <c r="S722"/>
  <c r="Q723"/>
  <c r="R723"/>
  <c r="S723"/>
  <c r="Q724"/>
  <c r="R724"/>
  <c r="S724"/>
  <c r="Q725"/>
  <c r="R725"/>
  <c r="S725"/>
  <c r="Q726"/>
  <c r="R726"/>
  <c r="S726"/>
  <c r="Q727"/>
  <c r="R727"/>
  <c r="S727"/>
  <c r="Q728"/>
  <c r="R728"/>
  <c r="S728"/>
  <c r="Q729"/>
  <c r="R729"/>
  <c r="S729"/>
  <c r="T729"/>
  <c r="U729"/>
  <c r="V729"/>
  <c r="Q730"/>
  <c r="R730"/>
  <c r="S730"/>
  <c r="Q731"/>
  <c r="R731"/>
  <c r="S731"/>
  <c r="Q732"/>
  <c r="R732"/>
  <c r="S732"/>
  <c r="Q733"/>
  <c r="R733"/>
  <c r="S733"/>
  <c r="Q734"/>
  <c r="R734"/>
  <c r="S734"/>
  <c r="Q735"/>
  <c r="R735"/>
  <c r="S735"/>
  <c r="Q736"/>
  <c r="R736"/>
  <c r="S736"/>
  <c r="Q737"/>
  <c r="R737"/>
  <c r="S737"/>
  <c r="Q738"/>
  <c r="R738"/>
  <c r="S738"/>
  <c r="Q739"/>
  <c r="R739"/>
  <c r="S739"/>
  <c r="Q740"/>
  <c r="R740"/>
  <c r="S740"/>
  <c r="Q741"/>
  <c r="R741"/>
  <c r="S741"/>
  <c r="T741"/>
  <c r="U741"/>
  <c r="V741"/>
  <c r="Q742"/>
  <c r="R742"/>
  <c r="S742"/>
  <c r="Q743"/>
  <c r="R743"/>
  <c r="S743"/>
  <c r="Q744"/>
  <c r="R744"/>
  <c r="S744"/>
  <c r="Q745"/>
  <c r="R745"/>
  <c r="S745"/>
  <c r="Q746"/>
  <c r="R746"/>
  <c r="S746"/>
  <c r="Q747"/>
  <c r="R747"/>
  <c r="S747"/>
  <c r="Q748"/>
  <c r="R748"/>
  <c r="S748"/>
  <c r="Q749"/>
  <c r="R749"/>
  <c r="S749"/>
  <c r="Q750"/>
  <c r="R750"/>
  <c r="S750"/>
  <c r="Q751"/>
  <c r="R751"/>
  <c r="S751"/>
  <c r="Q752"/>
  <c r="R752"/>
  <c r="S752"/>
  <c r="Q753"/>
  <c r="R753"/>
  <c r="S753"/>
  <c r="Q754"/>
  <c r="R754"/>
  <c r="S754"/>
  <c r="Q755"/>
  <c r="R755"/>
  <c r="S755"/>
  <c r="Q756"/>
  <c r="R756"/>
  <c r="S756"/>
  <c r="Q757"/>
  <c r="R757"/>
  <c r="S757"/>
  <c r="T757"/>
  <c r="U757"/>
  <c r="V757"/>
  <c r="Q758"/>
  <c r="R758"/>
  <c r="S758"/>
  <c r="Q759"/>
  <c r="R759"/>
  <c r="S759"/>
  <c r="Q760"/>
  <c r="R760"/>
  <c r="S760"/>
  <c r="Q761"/>
  <c r="R761"/>
  <c r="S761"/>
  <c r="Q762"/>
  <c r="R762"/>
  <c r="S762"/>
  <c r="Q763"/>
  <c r="R763"/>
  <c r="S763"/>
  <c r="Q764"/>
  <c r="R764"/>
  <c r="S764"/>
  <c r="Q765"/>
  <c r="R765"/>
  <c r="S765"/>
  <c r="Q766"/>
  <c r="R766"/>
  <c r="S766"/>
  <c r="Q767"/>
  <c r="R767"/>
  <c r="S767"/>
  <c r="Q768"/>
  <c r="R768"/>
  <c r="S768"/>
  <c r="Q769"/>
  <c r="R769"/>
  <c r="S769"/>
  <c r="T769"/>
  <c r="U769"/>
  <c r="V769"/>
  <c r="Q770"/>
  <c r="R770"/>
  <c r="S770"/>
  <c r="Q771"/>
  <c r="R771"/>
  <c r="S771"/>
  <c r="Q772"/>
  <c r="R772"/>
  <c r="S772"/>
  <c r="Q773"/>
  <c r="R773"/>
  <c r="S773"/>
  <c r="Q774"/>
  <c r="R774"/>
  <c r="S774"/>
  <c r="Q775"/>
  <c r="R775"/>
  <c r="S775"/>
  <c r="Q776"/>
  <c r="R776"/>
  <c r="S776"/>
  <c r="Q777"/>
  <c r="R777"/>
  <c r="S777"/>
  <c r="Q778"/>
  <c r="R778"/>
  <c r="S778"/>
  <c r="Q779"/>
  <c r="R779"/>
  <c r="S779"/>
  <c r="Q780"/>
  <c r="R780"/>
  <c r="S780"/>
  <c r="Q781"/>
  <c r="R781"/>
  <c r="S781"/>
  <c r="Q782"/>
  <c r="R782"/>
  <c r="S782"/>
  <c r="Q783"/>
  <c r="R783"/>
  <c r="S783"/>
  <c r="T783"/>
  <c r="U783"/>
  <c r="V783"/>
  <c r="Q784"/>
  <c r="R784"/>
  <c r="S784"/>
  <c r="Q785"/>
  <c r="R785"/>
  <c r="S785"/>
  <c r="Q786"/>
  <c r="R786"/>
  <c r="S786"/>
  <c r="Q787"/>
  <c r="R787"/>
  <c r="S787"/>
  <c r="Q788"/>
  <c r="R788"/>
  <c r="S788"/>
  <c r="Q789"/>
  <c r="R789"/>
  <c r="S789"/>
  <c r="Q790"/>
  <c r="R790"/>
  <c r="S790"/>
  <c r="Q791"/>
  <c r="R791"/>
  <c r="S791"/>
  <c r="Q792"/>
  <c r="R792"/>
  <c r="S792"/>
  <c r="Q793"/>
  <c r="R793"/>
  <c r="S793"/>
  <c r="Q794"/>
  <c r="R794"/>
  <c r="S794"/>
  <c r="Q795"/>
  <c r="R795"/>
  <c r="S795"/>
  <c r="Q796"/>
  <c r="R796"/>
  <c r="S796"/>
  <c r="Q797"/>
  <c r="R797"/>
  <c r="S797"/>
  <c r="T797"/>
  <c r="U797"/>
  <c r="V797"/>
  <c r="Q798"/>
  <c r="R798"/>
  <c r="S798"/>
  <c r="Q799"/>
  <c r="R799"/>
  <c r="S799"/>
  <c r="Q800"/>
  <c r="R800"/>
  <c r="S800"/>
  <c r="Q801"/>
  <c r="R801"/>
  <c r="S801"/>
  <c r="Q802"/>
  <c r="R802"/>
  <c r="S802"/>
  <c r="Q803"/>
  <c r="R803"/>
  <c r="S803"/>
  <c r="Q804"/>
  <c r="R804"/>
  <c r="S804"/>
  <c r="Q805"/>
  <c r="R805"/>
  <c r="S805"/>
  <c r="Q806"/>
  <c r="R806"/>
  <c r="S806"/>
  <c r="Q807"/>
  <c r="R807"/>
  <c r="S807"/>
  <c r="Q808"/>
  <c r="R808"/>
  <c r="S808"/>
  <c r="Q809"/>
  <c r="R809"/>
  <c r="S809"/>
  <c r="Q810"/>
  <c r="R810"/>
  <c r="S810"/>
  <c r="Q811"/>
  <c r="R811"/>
  <c r="S811"/>
  <c r="T811"/>
  <c r="U811"/>
  <c r="V811"/>
  <c r="Q812"/>
  <c r="R812"/>
  <c r="S812"/>
  <c r="Q813"/>
  <c r="R813"/>
  <c r="S813"/>
  <c r="Q814"/>
  <c r="R814"/>
  <c r="S814"/>
  <c r="Q815"/>
  <c r="R815"/>
  <c r="S815"/>
  <c r="Q816"/>
  <c r="R816"/>
  <c r="S816"/>
  <c r="Q817"/>
  <c r="R817"/>
  <c r="S817"/>
  <c r="Q818"/>
  <c r="R818"/>
  <c r="S818"/>
  <c r="Q819"/>
  <c r="R819"/>
  <c r="S819"/>
  <c r="Q820"/>
  <c r="R820"/>
  <c r="S820"/>
  <c r="Q821"/>
  <c r="R821"/>
  <c r="S821"/>
  <c r="Q822"/>
  <c r="R822"/>
  <c r="S822"/>
  <c r="T822"/>
  <c r="U822"/>
  <c r="V822"/>
  <c r="Q823"/>
  <c r="R823"/>
  <c r="S823"/>
  <c r="Q824"/>
  <c r="R824"/>
  <c r="S824"/>
  <c r="Q825"/>
  <c r="R825"/>
  <c r="S825"/>
  <c r="Q826"/>
  <c r="R826"/>
  <c r="S826"/>
  <c r="Q827"/>
  <c r="R827"/>
  <c r="S827"/>
  <c r="Q828"/>
  <c r="R828"/>
  <c r="S828"/>
  <c r="Q829"/>
  <c r="R829"/>
  <c r="S829"/>
  <c r="Q830"/>
  <c r="R830"/>
  <c r="S830"/>
  <c r="Q831"/>
  <c r="R831"/>
  <c r="S831"/>
  <c r="Q832"/>
  <c r="R832"/>
  <c r="S832"/>
  <c r="Q833"/>
  <c r="R833"/>
  <c r="S833"/>
  <c r="Q834"/>
  <c r="R834"/>
  <c r="S834"/>
  <c r="Q835"/>
  <c r="R835"/>
  <c r="S835"/>
  <c r="Q836"/>
  <c r="R836"/>
  <c r="S836"/>
  <c r="Q837"/>
  <c r="R837"/>
  <c r="S837"/>
  <c r="Q838"/>
  <c r="R838"/>
  <c r="S838"/>
  <c r="Q839"/>
  <c r="R839"/>
  <c r="S839"/>
  <c r="Q840"/>
  <c r="R840"/>
  <c r="S840"/>
  <c r="Q843"/>
  <c r="R843"/>
  <c r="S843"/>
  <c r="Q844"/>
  <c r="R844"/>
  <c r="S844"/>
  <c r="Q845"/>
  <c r="R845"/>
  <c r="S845"/>
  <c r="Q846"/>
  <c r="R846"/>
  <c r="S846"/>
  <c r="Q847"/>
  <c r="R847"/>
  <c r="S847"/>
  <c r="T847"/>
  <c r="U847"/>
  <c r="V847"/>
  <c r="Q848"/>
  <c r="R848"/>
  <c r="S848"/>
  <c r="Q849"/>
  <c r="R849"/>
  <c r="S849"/>
  <c r="Q850"/>
  <c r="R850"/>
  <c r="S850"/>
  <c r="Q851"/>
  <c r="R851"/>
  <c r="S851"/>
  <c r="Q852"/>
  <c r="R852"/>
  <c r="S852"/>
  <c r="Q853"/>
  <c r="R853"/>
  <c r="S853"/>
  <c r="Q854"/>
  <c r="R854"/>
  <c r="S854"/>
  <c r="Q855"/>
  <c r="R855"/>
  <c r="S855"/>
  <c r="T855"/>
  <c r="U855"/>
  <c r="V855"/>
  <c r="Q856"/>
  <c r="R856"/>
  <c r="S856"/>
  <c r="Q857"/>
  <c r="R857"/>
  <c r="S857"/>
  <c r="Q858"/>
  <c r="R858"/>
  <c r="S858"/>
  <c r="Q859"/>
  <c r="R859"/>
  <c r="S859"/>
  <c r="Q860"/>
  <c r="R860"/>
  <c r="S860"/>
  <c r="Q861"/>
  <c r="R861"/>
  <c r="S861"/>
  <c r="Q862"/>
  <c r="R862"/>
  <c r="S862"/>
  <c r="Q863"/>
  <c r="R863"/>
  <c r="S863"/>
  <c r="Q864"/>
  <c r="R864"/>
  <c r="S864"/>
  <c r="Q865"/>
  <c r="R865"/>
  <c r="S865"/>
  <c r="Q866"/>
  <c r="R866"/>
  <c r="S866"/>
  <c r="Q867"/>
  <c r="R867"/>
  <c r="S867"/>
  <c r="Q868"/>
  <c r="R868"/>
  <c r="S868"/>
  <c r="Q869"/>
  <c r="R869"/>
  <c r="S869"/>
  <c r="T869"/>
  <c r="U869"/>
  <c r="V869"/>
  <c r="Q870"/>
  <c r="R870"/>
  <c r="S870"/>
  <c r="Q871"/>
  <c r="R871"/>
  <c r="S871"/>
  <c r="Q872"/>
  <c r="R872"/>
  <c r="S872"/>
  <c r="Q873"/>
  <c r="R873"/>
  <c r="S873"/>
  <c r="Q874"/>
  <c r="R874"/>
  <c r="S874"/>
  <c r="Q875"/>
  <c r="R875"/>
  <c r="S875"/>
  <c r="Q876"/>
  <c r="R876"/>
  <c r="S876"/>
  <c r="Q877"/>
  <c r="R877"/>
  <c r="S877"/>
  <c r="Q882"/>
  <c r="R882"/>
  <c r="S882"/>
  <c r="Q883"/>
  <c r="R883"/>
  <c r="S883"/>
  <c r="Q884"/>
  <c r="R884"/>
  <c r="S884"/>
  <c r="Q885"/>
  <c r="R885"/>
  <c r="S885"/>
  <c r="Q886"/>
  <c r="R886"/>
  <c r="S886"/>
  <c r="Q887"/>
  <c r="R887"/>
  <c r="S887"/>
  <c r="Q888"/>
  <c r="R888"/>
  <c r="S888"/>
  <c r="Q889"/>
  <c r="R889"/>
  <c r="S889"/>
  <c r="Q890"/>
  <c r="R890"/>
  <c r="S890"/>
  <c r="Q891"/>
  <c r="R891"/>
  <c r="S891"/>
  <c r="Q892"/>
  <c r="R892"/>
  <c r="S892"/>
  <c r="Q893"/>
  <c r="R893"/>
  <c r="S893"/>
  <c r="T893"/>
  <c r="U893"/>
  <c r="V893"/>
  <c r="Q894"/>
  <c r="R894"/>
  <c r="S894"/>
  <c r="T894"/>
  <c r="U894"/>
  <c r="V894"/>
  <c r="Q895"/>
  <c r="R895"/>
  <c r="S895"/>
  <c r="Q896"/>
  <c r="R896"/>
  <c r="S896"/>
  <c r="T896"/>
  <c r="U896"/>
  <c r="V896"/>
  <c r="Q897"/>
  <c r="R897"/>
  <c r="S897"/>
  <c r="F611"/>
  <c r="U611" s="1"/>
  <c r="G611"/>
  <c r="E611"/>
  <c r="J1356" i="11"/>
  <c r="J1355" s="1"/>
  <c r="J1354" s="1"/>
  <c r="I1356"/>
  <c r="I1355" s="1"/>
  <c r="I1354" s="1"/>
  <c r="H1356"/>
  <c r="H1355" s="1"/>
  <c r="H1354" s="1"/>
  <c r="F325" i="17"/>
  <c r="U325" s="1"/>
  <c r="G325"/>
  <c r="V325" s="1"/>
  <c r="E325"/>
  <c r="T325" s="1"/>
  <c r="R1279" i="11"/>
  <c r="S1279"/>
  <c r="T1279"/>
  <c r="J1276"/>
  <c r="I1276"/>
  <c r="H1276"/>
  <c r="J1278"/>
  <c r="J1277" s="1"/>
  <c r="T1277" s="1"/>
  <c r="I1278"/>
  <c r="I1277" s="1"/>
  <c r="S1277" s="1"/>
  <c r="H1278"/>
  <c r="H1277" s="1"/>
  <c r="R1277" s="1"/>
  <c r="F610" i="17" l="1"/>
  <c r="F609" s="1"/>
  <c r="F608" s="1"/>
  <c r="U608" s="1"/>
  <c r="G610"/>
  <c r="V610" s="1"/>
  <c r="V611"/>
  <c r="E610"/>
  <c r="E609" s="1"/>
  <c r="E608" s="1"/>
  <c r="T608" s="1"/>
  <c r="T611"/>
  <c r="T1278" i="11"/>
  <c r="R1278"/>
  <c r="S1278"/>
  <c r="T609" i="17" l="1"/>
  <c r="T610"/>
  <c r="U610"/>
  <c r="U609"/>
  <c r="G609"/>
  <c r="V609" s="1"/>
  <c r="F2" i="36"/>
  <c r="J37"/>
  <c r="J36"/>
  <c r="J35" s="1"/>
  <c r="J31"/>
  <c r="J30"/>
  <c r="F2" i="26"/>
  <c r="J37"/>
  <c r="AA6" i="11"/>
  <c r="AB6"/>
  <c r="AC6"/>
  <c r="AD6"/>
  <c r="AE6"/>
  <c r="AF6"/>
  <c r="AA7"/>
  <c r="AB7"/>
  <c r="AC7"/>
  <c r="AD7"/>
  <c r="AE7"/>
  <c r="AF7"/>
  <c r="AA8"/>
  <c r="AB8"/>
  <c r="AC8"/>
  <c r="AD8"/>
  <c r="AE8"/>
  <c r="AF8"/>
  <c r="AA9"/>
  <c r="AB9"/>
  <c r="AC9"/>
  <c r="AD9"/>
  <c r="AE9"/>
  <c r="AF9"/>
  <c r="AA10"/>
  <c r="AB10"/>
  <c r="AC10"/>
  <c r="AD10"/>
  <c r="AE10"/>
  <c r="AF10"/>
  <c r="AA11"/>
  <c r="AB11"/>
  <c r="AC11"/>
  <c r="AD11"/>
  <c r="AE11"/>
  <c r="AF11"/>
  <c r="AA12"/>
  <c r="AB12"/>
  <c r="AC12"/>
  <c r="AD12"/>
  <c r="AE12"/>
  <c r="AF12"/>
  <c r="AA13"/>
  <c r="AB13"/>
  <c r="AC13"/>
  <c r="AD13"/>
  <c r="AE13"/>
  <c r="AF13"/>
  <c r="AA14"/>
  <c r="AB14"/>
  <c r="AC14"/>
  <c r="AD14"/>
  <c r="AE14"/>
  <c r="AF14"/>
  <c r="AA15"/>
  <c r="AB15"/>
  <c r="AC15"/>
  <c r="AD15"/>
  <c r="AE15"/>
  <c r="AF15"/>
  <c r="AA16"/>
  <c r="AB16"/>
  <c r="AC16"/>
  <c r="AD16"/>
  <c r="AE16"/>
  <c r="AF16"/>
  <c r="AA17"/>
  <c r="AB17"/>
  <c r="AC17"/>
  <c r="AD17"/>
  <c r="AE17"/>
  <c r="AF17"/>
  <c r="AA18"/>
  <c r="AB18"/>
  <c r="AC18"/>
  <c r="AD18"/>
  <c r="AE18"/>
  <c r="AF18"/>
  <c r="AA19"/>
  <c r="AB19"/>
  <c r="AC19"/>
  <c r="AD19"/>
  <c r="AE19"/>
  <c r="AF19"/>
  <c r="AA20"/>
  <c r="AB20"/>
  <c r="AC20"/>
  <c r="AD20"/>
  <c r="AE20"/>
  <c r="AF20"/>
  <c r="AA21"/>
  <c r="AB21"/>
  <c r="AC21"/>
  <c r="AD21"/>
  <c r="AE21"/>
  <c r="AF21"/>
  <c r="AA22"/>
  <c r="AB22"/>
  <c r="AC22"/>
  <c r="AD22"/>
  <c r="AE22"/>
  <c r="AF22"/>
  <c r="AA23"/>
  <c r="AB23"/>
  <c r="AC23"/>
  <c r="AD23"/>
  <c r="AE23"/>
  <c r="AF23"/>
  <c r="AA24"/>
  <c r="AB24"/>
  <c r="AC24"/>
  <c r="AD24"/>
  <c r="AE24"/>
  <c r="AF24"/>
  <c r="AA25"/>
  <c r="AB25"/>
  <c r="AC25"/>
  <c r="AD25"/>
  <c r="AE25"/>
  <c r="AF25"/>
  <c r="AA26"/>
  <c r="AB26"/>
  <c r="AC26"/>
  <c r="AD26"/>
  <c r="AE26"/>
  <c r="AF26"/>
  <c r="AA27"/>
  <c r="AB27"/>
  <c r="AC27"/>
  <c r="AD27"/>
  <c r="AE27"/>
  <c r="AF27"/>
  <c r="AA28"/>
  <c r="AB28"/>
  <c r="AC28"/>
  <c r="AD28"/>
  <c r="AE28"/>
  <c r="AF28"/>
  <c r="AA29"/>
  <c r="AB29"/>
  <c r="AC29"/>
  <c r="AD29"/>
  <c r="AE29"/>
  <c r="AF29"/>
  <c r="AA30"/>
  <c r="AB30"/>
  <c r="AC30"/>
  <c r="AD30"/>
  <c r="AE30"/>
  <c r="AF30"/>
  <c r="AA31"/>
  <c r="AB31"/>
  <c r="AC31"/>
  <c r="AD31"/>
  <c r="AE31"/>
  <c r="AF31"/>
  <c r="AA32"/>
  <c r="AB32"/>
  <c r="AC32"/>
  <c r="AD32"/>
  <c r="AE32"/>
  <c r="AF32"/>
  <c r="AA33"/>
  <c r="AB33"/>
  <c r="AC33"/>
  <c r="AD33"/>
  <c r="AE33"/>
  <c r="AF33"/>
  <c r="AA34"/>
  <c r="AB34"/>
  <c r="AC34"/>
  <c r="AD34"/>
  <c r="AE34"/>
  <c r="AF34"/>
  <c r="AA35"/>
  <c r="AB35"/>
  <c r="AC35"/>
  <c r="AD35"/>
  <c r="AE35"/>
  <c r="AF35"/>
  <c r="AA36"/>
  <c r="AB36"/>
  <c r="AC36"/>
  <c r="AD36"/>
  <c r="AE36"/>
  <c r="AF36"/>
  <c r="AA37"/>
  <c r="AB37"/>
  <c r="AC37"/>
  <c r="AD37"/>
  <c r="AE37"/>
  <c r="AF37"/>
  <c r="AA38"/>
  <c r="AB38"/>
  <c r="AC38"/>
  <c r="AD38"/>
  <c r="AE38"/>
  <c r="AF38"/>
  <c r="AA39"/>
  <c r="AB39"/>
  <c r="AC39"/>
  <c r="AD39"/>
  <c r="AE39"/>
  <c r="AF39"/>
  <c r="AA40"/>
  <c r="AB40"/>
  <c r="AC40"/>
  <c r="AD40"/>
  <c r="AE40"/>
  <c r="AF40"/>
  <c r="AA41"/>
  <c r="AB41"/>
  <c r="AC41"/>
  <c r="AD41"/>
  <c r="AE41"/>
  <c r="AF41"/>
  <c r="AA42"/>
  <c r="AB42"/>
  <c r="AC42"/>
  <c r="AD42"/>
  <c r="AE42"/>
  <c r="AF42"/>
  <c r="AA43"/>
  <c r="AB43"/>
  <c r="AC43"/>
  <c r="AD43"/>
  <c r="AE43"/>
  <c r="AF43"/>
  <c r="AA44"/>
  <c r="AB44"/>
  <c r="AC44"/>
  <c r="AD44"/>
  <c r="AE44"/>
  <c r="AF44"/>
  <c r="AA45"/>
  <c r="AB45"/>
  <c r="AC45"/>
  <c r="AD45"/>
  <c r="AE45"/>
  <c r="AF45"/>
  <c r="AA46"/>
  <c r="AB46"/>
  <c r="AC46"/>
  <c r="AD46"/>
  <c r="AE46"/>
  <c r="AF46"/>
  <c r="AA47"/>
  <c r="AB47"/>
  <c r="AC47"/>
  <c r="AD47"/>
  <c r="AE47"/>
  <c r="AF47"/>
  <c r="AA48"/>
  <c r="AB48"/>
  <c r="AC48"/>
  <c r="AD48"/>
  <c r="AE48"/>
  <c r="AF48"/>
  <c r="AA49"/>
  <c r="AB49"/>
  <c r="AC49"/>
  <c r="AD49"/>
  <c r="AE49"/>
  <c r="AF49"/>
  <c r="AA50"/>
  <c r="AB50"/>
  <c r="AC50"/>
  <c r="AD50"/>
  <c r="AE50"/>
  <c r="AF50"/>
  <c r="AA51"/>
  <c r="AB51"/>
  <c r="AC51"/>
  <c r="AD51"/>
  <c r="AE51"/>
  <c r="AF51"/>
  <c r="AA52"/>
  <c r="AB52"/>
  <c r="AC52"/>
  <c r="AD52"/>
  <c r="AE52"/>
  <c r="AF52"/>
  <c r="AA53"/>
  <c r="AB53"/>
  <c r="AC53"/>
  <c r="AD53"/>
  <c r="AE53"/>
  <c r="AF53"/>
  <c r="AA54"/>
  <c r="AB54"/>
  <c r="AC54"/>
  <c r="AD54"/>
  <c r="AE54"/>
  <c r="AF54"/>
  <c r="AA55"/>
  <c r="AB55"/>
  <c r="AC55"/>
  <c r="AD55"/>
  <c r="AE55"/>
  <c r="AF55"/>
  <c r="AA56"/>
  <c r="AB56"/>
  <c r="AC56"/>
  <c r="AD56"/>
  <c r="AE56"/>
  <c r="AF56"/>
  <c r="AA57"/>
  <c r="AB57"/>
  <c r="AC57"/>
  <c r="AD57"/>
  <c r="AE57"/>
  <c r="AF57"/>
  <c r="AA58"/>
  <c r="AB58"/>
  <c r="AC58"/>
  <c r="AD58"/>
  <c r="AE58"/>
  <c r="AF58"/>
  <c r="AA59"/>
  <c r="AB59"/>
  <c r="AC59"/>
  <c r="AD59"/>
  <c r="AE59"/>
  <c r="AF59"/>
  <c r="AA60"/>
  <c r="AB60"/>
  <c r="AC60"/>
  <c r="AD60"/>
  <c r="AE60"/>
  <c r="AF60"/>
  <c r="AA61"/>
  <c r="AB61"/>
  <c r="AC61"/>
  <c r="AD61"/>
  <c r="AE61"/>
  <c r="AF61"/>
  <c r="AA62"/>
  <c r="AB62"/>
  <c r="AC62"/>
  <c r="AD62"/>
  <c r="AE62"/>
  <c r="AF62"/>
  <c r="AA63"/>
  <c r="AB63"/>
  <c r="AC63"/>
  <c r="AD63"/>
  <c r="AE63"/>
  <c r="AF63"/>
  <c r="AA68"/>
  <c r="AB68"/>
  <c r="AC68"/>
  <c r="AD68"/>
  <c r="AE68"/>
  <c r="AF68"/>
  <c r="AA69"/>
  <c r="AB69"/>
  <c r="AC69"/>
  <c r="AD69"/>
  <c r="AE69"/>
  <c r="AF69"/>
  <c r="AA70"/>
  <c r="AB70"/>
  <c r="AC70"/>
  <c r="AD70"/>
  <c r="AE70"/>
  <c r="AF70"/>
  <c r="AA71"/>
  <c r="AB71"/>
  <c r="AC71"/>
  <c r="AD71"/>
  <c r="AE71"/>
  <c r="AF71"/>
  <c r="AA72"/>
  <c r="AB72"/>
  <c r="AC72"/>
  <c r="AD72"/>
  <c r="AE72"/>
  <c r="AF72"/>
  <c r="AA73"/>
  <c r="AB73"/>
  <c r="AC73"/>
  <c r="AD73"/>
  <c r="AE73"/>
  <c r="AF73"/>
  <c r="AA74"/>
  <c r="AB74"/>
  <c r="AC74"/>
  <c r="AD74"/>
  <c r="AE74"/>
  <c r="AF74"/>
  <c r="AA75"/>
  <c r="AB75"/>
  <c r="AC75"/>
  <c r="AD75"/>
  <c r="AE75"/>
  <c r="AF75"/>
  <c r="AA76"/>
  <c r="AB76"/>
  <c r="AC76"/>
  <c r="AD76"/>
  <c r="AE76"/>
  <c r="AF76"/>
  <c r="AA77"/>
  <c r="AB77"/>
  <c r="AC77"/>
  <c r="AD77"/>
  <c r="AE77"/>
  <c r="AF77"/>
  <c r="AA78"/>
  <c r="AB78"/>
  <c r="AC78"/>
  <c r="AD78"/>
  <c r="AE78"/>
  <c r="AF78"/>
  <c r="AA79"/>
  <c r="AB79"/>
  <c r="AC79"/>
  <c r="AD79"/>
  <c r="AE79"/>
  <c r="AF79"/>
  <c r="AA80"/>
  <c r="AB80"/>
  <c r="AC80"/>
  <c r="AD80"/>
  <c r="AE80"/>
  <c r="AF80"/>
  <c r="AA81"/>
  <c r="AB81"/>
  <c r="AC81"/>
  <c r="AD81"/>
  <c r="AE81"/>
  <c r="AF81"/>
  <c r="AA82"/>
  <c r="AB82"/>
  <c r="AC82"/>
  <c r="AD82"/>
  <c r="AE82"/>
  <c r="AF82"/>
  <c r="AA83"/>
  <c r="AB83"/>
  <c r="AC83"/>
  <c r="AD83"/>
  <c r="AE83"/>
  <c r="AF83"/>
  <c r="AA84"/>
  <c r="AB84"/>
  <c r="AC84"/>
  <c r="AD84"/>
  <c r="AE84"/>
  <c r="AF84"/>
  <c r="AA85"/>
  <c r="AB85"/>
  <c r="AC85"/>
  <c r="AD85"/>
  <c r="AE85"/>
  <c r="AF85"/>
  <c r="AA86"/>
  <c r="AB86"/>
  <c r="AC86"/>
  <c r="AD86"/>
  <c r="AE86"/>
  <c r="AF86"/>
  <c r="AA87"/>
  <c r="AB87"/>
  <c r="AC87"/>
  <c r="AD87"/>
  <c r="AE87"/>
  <c r="AF87"/>
  <c r="AA88"/>
  <c r="AB88"/>
  <c r="AC88"/>
  <c r="AD88"/>
  <c r="AE88"/>
  <c r="AF88"/>
  <c r="AA89"/>
  <c r="AB89"/>
  <c r="AC89"/>
  <c r="AD89"/>
  <c r="AE89"/>
  <c r="AF89"/>
  <c r="AA90"/>
  <c r="AB90"/>
  <c r="AC90"/>
  <c r="AD90"/>
  <c r="AE90"/>
  <c r="AF90"/>
  <c r="AA91"/>
  <c r="AB91"/>
  <c r="AC91"/>
  <c r="AD91"/>
  <c r="AE91"/>
  <c r="AF91"/>
  <c r="AA92"/>
  <c r="AB92"/>
  <c r="AC92"/>
  <c r="AD92"/>
  <c r="AE92"/>
  <c r="AF92"/>
  <c r="AA93"/>
  <c r="AB93"/>
  <c r="AC93"/>
  <c r="AD93"/>
  <c r="AE93"/>
  <c r="AF93"/>
  <c r="AA94"/>
  <c r="AB94"/>
  <c r="AC94"/>
  <c r="AD94"/>
  <c r="AE94"/>
  <c r="AF94"/>
  <c r="AA95"/>
  <c r="AB95"/>
  <c r="AC95"/>
  <c r="AD95"/>
  <c r="AE95"/>
  <c r="AF95"/>
  <c r="AA96"/>
  <c r="AB96"/>
  <c r="AC96"/>
  <c r="AD96"/>
  <c r="AE96"/>
  <c r="AF96"/>
  <c r="AA97"/>
  <c r="AB97"/>
  <c r="AC97"/>
  <c r="AD97"/>
  <c r="AE97"/>
  <c r="AF97"/>
  <c r="AA98"/>
  <c r="AB98"/>
  <c r="AC98"/>
  <c r="AD98"/>
  <c r="AE98"/>
  <c r="AF98"/>
  <c r="AA99"/>
  <c r="AB99"/>
  <c r="AC99"/>
  <c r="AD99"/>
  <c r="AE99"/>
  <c r="AF99"/>
  <c r="AA100"/>
  <c r="AB100"/>
  <c r="AC100"/>
  <c r="AD100"/>
  <c r="AE100"/>
  <c r="AF100"/>
  <c r="AA101"/>
  <c r="AB101"/>
  <c r="AC101"/>
  <c r="AD101"/>
  <c r="AE101"/>
  <c r="AF101"/>
  <c r="AA102"/>
  <c r="AB102"/>
  <c r="AC102"/>
  <c r="AD102"/>
  <c r="AE102"/>
  <c r="AF102"/>
  <c r="AA103"/>
  <c r="AB103"/>
  <c r="AC103"/>
  <c r="AD103"/>
  <c r="AE103"/>
  <c r="AF103"/>
  <c r="AA104"/>
  <c r="AB104"/>
  <c r="AC104"/>
  <c r="AD104"/>
  <c r="AE104"/>
  <c r="AF104"/>
  <c r="AA105"/>
  <c r="AB105"/>
  <c r="AC105"/>
  <c r="AD105"/>
  <c r="AE105"/>
  <c r="AF105"/>
  <c r="AA106"/>
  <c r="AB106"/>
  <c r="AC106"/>
  <c r="AD106"/>
  <c r="AE106"/>
  <c r="AF106"/>
  <c r="AA107"/>
  <c r="AB107"/>
  <c r="AC107"/>
  <c r="AD107"/>
  <c r="AE107"/>
  <c r="AF107"/>
  <c r="AA108"/>
  <c r="AB108"/>
  <c r="AC108"/>
  <c r="AD108"/>
  <c r="AE108"/>
  <c r="AF108"/>
  <c r="AA109"/>
  <c r="AB109"/>
  <c r="AC109"/>
  <c r="AD109"/>
  <c r="AE109"/>
  <c r="AF109"/>
  <c r="AA110"/>
  <c r="AB110"/>
  <c r="AC110"/>
  <c r="AD110"/>
  <c r="AE110"/>
  <c r="AF110"/>
  <c r="AA111"/>
  <c r="AB111"/>
  <c r="AC111"/>
  <c r="AD111"/>
  <c r="AE111"/>
  <c r="AF111"/>
  <c r="AA112"/>
  <c r="AB112"/>
  <c r="AC112"/>
  <c r="AD112"/>
  <c r="AE112"/>
  <c r="AF112"/>
  <c r="AA113"/>
  <c r="AB113"/>
  <c r="AC113"/>
  <c r="AD113"/>
  <c r="AE113"/>
  <c r="AF113"/>
  <c r="AA114"/>
  <c r="AB114"/>
  <c r="AC114"/>
  <c r="AD114"/>
  <c r="AE114"/>
  <c r="AF114"/>
  <c r="AA115"/>
  <c r="AB115"/>
  <c r="AC115"/>
  <c r="AD115"/>
  <c r="AE115"/>
  <c r="AF115"/>
  <c r="AA116"/>
  <c r="AB116"/>
  <c r="AC116"/>
  <c r="AD116"/>
  <c r="AE116"/>
  <c r="AF116"/>
  <c r="AA117"/>
  <c r="AB117"/>
  <c r="AC117"/>
  <c r="AD117"/>
  <c r="AE117"/>
  <c r="AF117"/>
  <c r="AA118"/>
  <c r="AB118"/>
  <c r="AC118"/>
  <c r="AD118"/>
  <c r="AE118"/>
  <c r="AF118"/>
  <c r="AA119"/>
  <c r="AB119"/>
  <c r="AC119"/>
  <c r="AD119"/>
  <c r="AE119"/>
  <c r="AF119"/>
  <c r="AA120"/>
  <c r="AB120"/>
  <c r="AC120"/>
  <c r="AD120"/>
  <c r="AE120"/>
  <c r="AF120"/>
  <c r="AA121"/>
  <c r="AB121"/>
  <c r="AC121"/>
  <c r="AD121"/>
  <c r="AE121"/>
  <c r="AF121"/>
  <c r="AA122"/>
  <c r="AB122"/>
  <c r="AC122"/>
  <c r="AD122"/>
  <c r="AE122"/>
  <c r="AF122"/>
  <c r="AA123"/>
  <c r="AB123"/>
  <c r="AC123"/>
  <c r="AD123"/>
  <c r="AE123"/>
  <c r="AF123"/>
  <c r="AA124"/>
  <c r="AB124"/>
  <c r="AC124"/>
  <c r="AD124"/>
  <c r="AE124"/>
  <c r="AF124"/>
  <c r="AA125"/>
  <c r="AB125"/>
  <c r="AC125"/>
  <c r="AD125"/>
  <c r="AE125"/>
  <c r="AF125"/>
  <c r="AA126"/>
  <c r="AB126"/>
  <c r="AC126"/>
  <c r="AD126"/>
  <c r="AE126"/>
  <c r="AF126"/>
  <c r="AA127"/>
  <c r="AB127"/>
  <c r="AC127"/>
  <c r="AD127"/>
  <c r="AE127"/>
  <c r="AF127"/>
  <c r="AA128"/>
  <c r="AB128"/>
  <c r="AC128"/>
  <c r="AD128"/>
  <c r="AE128"/>
  <c r="AF128"/>
  <c r="AA129"/>
  <c r="AB129"/>
  <c r="AC129"/>
  <c r="AD129"/>
  <c r="AE129"/>
  <c r="AF129"/>
  <c r="AA130"/>
  <c r="AB130"/>
  <c r="AC130"/>
  <c r="AD130"/>
  <c r="AE130"/>
  <c r="AF130"/>
  <c r="AA131"/>
  <c r="AB131"/>
  <c r="AC131"/>
  <c r="AD131"/>
  <c r="AE131"/>
  <c r="AF131"/>
  <c r="AA132"/>
  <c r="AB132"/>
  <c r="AC132"/>
  <c r="AD132"/>
  <c r="AE132"/>
  <c r="AF132"/>
  <c r="AA133"/>
  <c r="AB133"/>
  <c r="AC133"/>
  <c r="AD133"/>
  <c r="AE133"/>
  <c r="AF133"/>
  <c r="AA134"/>
  <c r="AB134"/>
  <c r="AC134"/>
  <c r="AD134"/>
  <c r="AE134"/>
  <c r="AF134"/>
  <c r="AA135"/>
  <c r="AB135"/>
  <c r="AC135"/>
  <c r="AD135"/>
  <c r="AE135"/>
  <c r="AF135"/>
  <c r="AA136"/>
  <c r="AB136"/>
  <c r="AC136"/>
  <c r="AD136"/>
  <c r="AE136"/>
  <c r="AF136"/>
  <c r="AA137"/>
  <c r="AB137"/>
  <c r="AC137"/>
  <c r="AD137"/>
  <c r="AE137"/>
  <c r="AF137"/>
  <c r="AA138"/>
  <c r="AB138"/>
  <c r="AC138"/>
  <c r="AD138"/>
  <c r="AE138"/>
  <c r="AF138"/>
  <c r="AA139"/>
  <c r="AB139"/>
  <c r="AC139"/>
  <c r="AD139"/>
  <c r="AE139"/>
  <c r="AF139"/>
  <c r="AA140"/>
  <c r="AB140"/>
  <c r="AC140"/>
  <c r="AD140"/>
  <c r="AE140"/>
  <c r="AF140"/>
  <c r="AA141"/>
  <c r="AB141"/>
  <c r="AC141"/>
  <c r="AD141"/>
  <c r="AE141"/>
  <c r="AF141"/>
  <c r="AA142"/>
  <c r="AB142"/>
  <c r="AC142"/>
  <c r="AD142"/>
  <c r="AE142"/>
  <c r="AF142"/>
  <c r="AA143"/>
  <c r="AB143"/>
  <c r="AC143"/>
  <c r="AD143"/>
  <c r="AE143"/>
  <c r="AF143"/>
  <c r="AA144"/>
  <c r="AB144"/>
  <c r="AC144"/>
  <c r="AD144"/>
  <c r="AE144"/>
  <c r="AF144"/>
  <c r="AA145"/>
  <c r="AB145"/>
  <c r="AC145"/>
  <c r="AD145"/>
  <c r="AE145"/>
  <c r="AF145"/>
  <c r="AA146"/>
  <c r="AB146"/>
  <c r="AC146"/>
  <c r="AD146"/>
  <c r="AE146"/>
  <c r="AF146"/>
  <c r="AA147"/>
  <c r="AB147"/>
  <c r="AC147"/>
  <c r="AD147"/>
  <c r="AE147"/>
  <c r="AF147"/>
  <c r="AA148"/>
  <c r="AB148"/>
  <c r="AC148"/>
  <c r="AD148"/>
  <c r="AE148"/>
  <c r="AF148"/>
  <c r="AA149"/>
  <c r="AB149"/>
  <c r="AC149"/>
  <c r="AD149"/>
  <c r="AE149"/>
  <c r="AF149"/>
  <c r="AA150"/>
  <c r="AB150"/>
  <c r="AC150"/>
  <c r="AD150"/>
  <c r="AE150"/>
  <c r="AF150"/>
  <c r="AA151"/>
  <c r="AB151"/>
  <c r="AC151"/>
  <c r="AD151"/>
  <c r="AE151"/>
  <c r="AF151"/>
  <c r="AA152"/>
  <c r="AB152"/>
  <c r="AC152"/>
  <c r="AD152"/>
  <c r="AE152"/>
  <c r="AF152"/>
  <c r="AA153"/>
  <c r="AB153"/>
  <c r="AC153"/>
  <c r="AD153"/>
  <c r="AE153"/>
  <c r="AF153"/>
  <c r="AA154"/>
  <c r="AB154"/>
  <c r="AC154"/>
  <c r="AD154"/>
  <c r="AE154"/>
  <c r="AF154"/>
  <c r="AA155"/>
  <c r="AB155"/>
  <c r="AC155"/>
  <c r="AD155"/>
  <c r="AE155"/>
  <c r="AF155"/>
  <c r="AA156"/>
  <c r="AB156"/>
  <c r="AC156"/>
  <c r="AD156"/>
  <c r="AE156"/>
  <c r="AF156"/>
  <c r="AA157"/>
  <c r="AB157"/>
  <c r="AC157"/>
  <c r="AD157"/>
  <c r="AE157"/>
  <c r="AF157"/>
  <c r="AA158"/>
  <c r="AB158"/>
  <c r="AC158"/>
  <c r="AD158"/>
  <c r="AE158"/>
  <c r="AF158"/>
  <c r="AA159"/>
  <c r="AB159"/>
  <c r="AC159"/>
  <c r="AD159"/>
  <c r="AE159"/>
  <c r="AF159"/>
  <c r="AA160"/>
  <c r="AB160"/>
  <c r="AC160"/>
  <c r="AD160"/>
  <c r="AE160"/>
  <c r="AF160"/>
  <c r="AA161"/>
  <c r="AB161"/>
  <c r="AC161"/>
  <c r="AD161"/>
  <c r="AE161"/>
  <c r="AF161"/>
  <c r="AA162"/>
  <c r="AB162"/>
  <c r="AC162"/>
  <c r="AD162"/>
  <c r="AE162"/>
  <c r="AF162"/>
  <c r="AA163"/>
  <c r="AB163"/>
  <c r="AC163"/>
  <c r="AD163"/>
  <c r="AE163"/>
  <c r="AF163"/>
  <c r="AA164"/>
  <c r="AB164"/>
  <c r="AC164"/>
  <c r="AD164"/>
  <c r="AE164"/>
  <c r="AF164"/>
  <c r="AA165"/>
  <c r="AB165"/>
  <c r="AC165"/>
  <c r="AD165"/>
  <c r="AE165"/>
  <c r="AF165"/>
  <c r="AA166"/>
  <c r="AB166"/>
  <c r="AC166"/>
  <c r="AD166"/>
  <c r="AE166"/>
  <c r="AF166"/>
  <c r="AA167"/>
  <c r="AB167"/>
  <c r="AC167"/>
  <c r="AD167"/>
  <c r="AE167"/>
  <c r="AF167"/>
  <c r="AA168"/>
  <c r="AB168"/>
  <c r="AC168"/>
  <c r="AD168"/>
  <c r="AE168"/>
  <c r="AF168"/>
  <c r="AA169"/>
  <c r="AB169"/>
  <c r="AC169"/>
  <c r="AD169"/>
  <c r="AE169"/>
  <c r="AF169"/>
  <c r="AA170"/>
  <c r="AB170"/>
  <c r="AC170"/>
  <c r="AD170"/>
  <c r="AE170"/>
  <c r="AF170"/>
  <c r="AA171"/>
  <c r="AB171"/>
  <c r="AC171"/>
  <c r="AD171"/>
  <c r="AE171"/>
  <c r="AF171"/>
  <c r="AA172"/>
  <c r="AB172"/>
  <c r="AC172"/>
  <c r="AD172"/>
  <c r="AE172"/>
  <c r="AF172"/>
  <c r="AA173"/>
  <c r="AB173"/>
  <c r="AC173"/>
  <c r="AD173"/>
  <c r="AE173"/>
  <c r="AF173"/>
  <c r="AA174"/>
  <c r="AB174"/>
  <c r="AC174"/>
  <c r="AD174"/>
  <c r="AE174"/>
  <c r="AF174"/>
  <c r="AA175"/>
  <c r="AB175"/>
  <c r="AC175"/>
  <c r="AD175"/>
  <c r="AE175"/>
  <c r="AF175"/>
  <c r="AA176"/>
  <c r="AB176"/>
  <c r="AC176"/>
  <c r="AD176"/>
  <c r="AE176"/>
  <c r="AF176"/>
  <c r="AA177"/>
  <c r="AB177"/>
  <c r="AC177"/>
  <c r="AD177"/>
  <c r="AE177"/>
  <c r="AF177"/>
  <c r="AA178"/>
  <c r="AB178"/>
  <c r="AC178"/>
  <c r="AD178"/>
  <c r="AE178"/>
  <c r="AF178"/>
  <c r="AA179"/>
  <c r="AB179"/>
  <c r="AC179"/>
  <c r="AD179"/>
  <c r="AE179"/>
  <c r="AF179"/>
  <c r="AA180"/>
  <c r="AB180"/>
  <c r="AC180"/>
  <c r="AD180"/>
  <c r="AE180"/>
  <c r="AF180"/>
  <c r="AA181"/>
  <c r="AB181"/>
  <c r="AC181"/>
  <c r="AD181"/>
  <c r="AE181"/>
  <c r="AF181"/>
  <c r="AA182"/>
  <c r="AB182"/>
  <c r="AC182"/>
  <c r="AD182"/>
  <c r="AE182"/>
  <c r="AF182"/>
  <c r="AA183"/>
  <c r="AB183"/>
  <c r="AC183"/>
  <c r="AD183"/>
  <c r="AE183"/>
  <c r="AF183"/>
  <c r="AA184"/>
  <c r="AB184"/>
  <c r="AC184"/>
  <c r="AD184"/>
  <c r="AE184"/>
  <c r="AF184"/>
  <c r="AA185"/>
  <c r="AB185"/>
  <c r="AC185"/>
  <c r="AD185"/>
  <c r="AE185"/>
  <c r="AF185"/>
  <c r="AA186"/>
  <c r="AB186"/>
  <c r="AC186"/>
  <c r="AD186"/>
  <c r="AE186"/>
  <c r="AF186"/>
  <c r="AA187"/>
  <c r="AB187"/>
  <c r="AC187"/>
  <c r="AD187"/>
  <c r="AE187"/>
  <c r="AF187"/>
  <c r="AA192"/>
  <c r="AB192"/>
  <c r="AC192"/>
  <c r="AD192"/>
  <c r="AE192"/>
  <c r="AF192"/>
  <c r="AA193"/>
  <c r="AB193"/>
  <c r="AC193"/>
  <c r="AD193"/>
  <c r="AE193"/>
  <c r="AF193"/>
  <c r="AA194"/>
  <c r="AB194"/>
  <c r="AC194"/>
  <c r="AD194"/>
  <c r="AE194"/>
  <c r="AF194"/>
  <c r="AA195"/>
  <c r="AB195"/>
  <c r="AC195"/>
  <c r="AD195"/>
  <c r="AE195"/>
  <c r="AF195"/>
  <c r="AA196"/>
  <c r="AB196"/>
  <c r="AC196"/>
  <c r="AD196"/>
  <c r="AE196"/>
  <c r="AF196"/>
  <c r="AA197"/>
  <c r="AB197"/>
  <c r="AC197"/>
  <c r="AD197"/>
  <c r="AE197"/>
  <c r="AF197"/>
  <c r="AA198"/>
  <c r="AB198"/>
  <c r="AC198"/>
  <c r="AD198"/>
  <c r="AE198"/>
  <c r="AF198"/>
  <c r="AA199"/>
  <c r="AB199"/>
  <c r="AC199"/>
  <c r="AD199"/>
  <c r="AE199"/>
  <c r="AF199"/>
  <c r="AA200"/>
  <c r="AB200"/>
  <c r="AC200"/>
  <c r="AD200"/>
  <c r="AE200"/>
  <c r="AF200"/>
  <c r="AA201"/>
  <c r="AB201"/>
  <c r="AC201"/>
  <c r="AD201"/>
  <c r="AE201"/>
  <c r="AF201"/>
  <c r="AA202"/>
  <c r="AB202"/>
  <c r="AC202"/>
  <c r="AD202"/>
  <c r="AE202"/>
  <c r="AF202"/>
  <c r="AA203"/>
  <c r="AB203"/>
  <c r="AC203"/>
  <c r="AD203"/>
  <c r="AE203"/>
  <c r="AF203"/>
  <c r="AA204"/>
  <c r="AB204"/>
  <c r="AC204"/>
  <c r="AD204"/>
  <c r="AE204"/>
  <c r="AF204"/>
  <c r="AA205"/>
  <c r="AB205"/>
  <c r="AC205"/>
  <c r="AD205"/>
  <c r="AE205"/>
  <c r="AF205"/>
  <c r="AA206"/>
  <c r="AB206"/>
  <c r="AC206"/>
  <c r="AD206"/>
  <c r="AE206"/>
  <c r="AF206"/>
  <c r="AA207"/>
  <c r="AB207"/>
  <c r="AC207"/>
  <c r="AD207"/>
  <c r="AE207"/>
  <c r="AF207"/>
  <c r="AA208"/>
  <c r="AB208"/>
  <c r="AC208"/>
  <c r="AD208"/>
  <c r="AE208"/>
  <c r="AF208"/>
  <c r="AA209"/>
  <c r="AB209"/>
  <c r="AC209"/>
  <c r="AD209"/>
  <c r="AE209"/>
  <c r="AF209"/>
  <c r="AA210"/>
  <c r="AB210"/>
  <c r="AC210"/>
  <c r="AD210"/>
  <c r="AE210"/>
  <c r="AF210"/>
  <c r="AA211"/>
  <c r="AB211"/>
  <c r="AC211"/>
  <c r="AD211"/>
  <c r="AE211"/>
  <c r="AF211"/>
  <c r="AA212"/>
  <c r="AB212"/>
  <c r="AC212"/>
  <c r="AD212"/>
  <c r="AE212"/>
  <c r="AF212"/>
  <c r="AA213"/>
  <c r="AB213"/>
  <c r="AC213"/>
  <c r="AD213"/>
  <c r="AE213"/>
  <c r="AF213"/>
  <c r="AA214"/>
  <c r="AB214"/>
  <c r="AC214"/>
  <c r="AD214"/>
  <c r="AE214"/>
  <c r="AF214"/>
  <c r="AA215"/>
  <c r="AB215"/>
  <c r="AC215"/>
  <c r="AD215"/>
  <c r="AE215"/>
  <c r="AF215"/>
  <c r="AA216"/>
  <c r="AB216"/>
  <c r="AC216"/>
  <c r="AD216"/>
  <c r="AE216"/>
  <c r="AF216"/>
  <c r="AA217"/>
  <c r="AB217"/>
  <c r="AC217"/>
  <c r="AD217"/>
  <c r="AE217"/>
  <c r="AF217"/>
  <c r="AA218"/>
  <c r="AB218"/>
  <c r="AC218"/>
  <c r="AD218"/>
  <c r="AE218"/>
  <c r="AF218"/>
  <c r="AA219"/>
  <c r="AB219"/>
  <c r="AC219"/>
  <c r="AD219"/>
  <c r="AE219"/>
  <c r="AF219"/>
  <c r="AA220"/>
  <c r="AB220"/>
  <c r="AC220"/>
  <c r="AD220"/>
  <c r="AE220"/>
  <c r="AF220"/>
  <c r="AA221"/>
  <c r="AB221"/>
  <c r="AC221"/>
  <c r="AD221"/>
  <c r="AE221"/>
  <c r="AF221"/>
  <c r="AA222"/>
  <c r="AB222"/>
  <c r="AC222"/>
  <c r="AD222"/>
  <c r="AE222"/>
  <c r="AF222"/>
  <c r="AA223"/>
  <c r="AB223"/>
  <c r="AC223"/>
  <c r="AD223"/>
  <c r="AE223"/>
  <c r="AF223"/>
  <c r="AA224"/>
  <c r="AB224"/>
  <c r="AC224"/>
  <c r="AD224"/>
  <c r="AE224"/>
  <c r="AF224"/>
  <c r="AA225"/>
  <c r="AB225"/>
  <c r="AC225"/>
  <c r="AD225"/>
  <c r="AE225"/>
  <c r="AF225"/>
  <c r="AA226"/>
  <c r="AB226"/>
  <c r="AC226"/>
  <c r="AD226"/>
  <c r="AE226"/>
  <c r="AF226"/>
  <c r="AA227"/>
  <c r="AB227"/>
  <c r="AC227"/>
  <c r="AD227"/>
  <c r="AE227"/>
  <c r="AF227"/>
  <c r="AA228"/>
  <c r="AB228"/>
  <c r="AC228"/>
  <c r="AD228"/>
  <c r="AE228"/>
  <c r="AF228"/>
  <c r="AA229"/>
  <c r="AB229"/>
  <c r="AC229"/>
  <c r="AD229"/>
  <c r="AE229"/>
  <c r="AF229"/>
  <c r="AA230"/>
  <c r="AB230"/>
  <c r="AC230"/>
  <c r="AD230"/>
  <c r="AE230"/>
  <c r="AF230"/>
  <c r="AA231"/>
  <c r="AB231"/>
  <c r="AC231"/>
  <c r="AD231"/>
  <c r="AE231"/>
  <c r="AF231"/>
  <c r="AA232"/>
  <c r="AB232"/>
  <c r="AC232"/>
  <c r="AD232"/>
  <c r="AE232"/>
  <c r="AF232"/>
  <c r="AA233"/>
  <c r="AB233"/>
  <c r="AC233"/>
  <c r="AD233"/>
  <c r="AE233"/>
  <c r="AF233"/>
  <c r="AA234"/>
  <c r="AB234"/>
  <c r="AC234"/>
  <c r="AD234"/>
  <c r="AE234"/>
  <c r="AF234"/>
  <c r="AA235"/>
  <c r="AB235"/>
  <c r="AC235"/>
  <c r="AD235"/>
  <c r="AE235"/>
  <c r="AF235"/>
  <c r="AA236"/>
  <c r="AB236"/>
  <c r="AC236"/>
  <c r="AD236"/>
  <c r="AE236"/>
  <c r="AF236"/>
  <c r="AA237"/>
  <c r="AB237"/>
  <c r="AC237"/>
  <c r="AD237"/>
  <c r="AE237"/>
  <c r="AF237"/>
  <c r="AA238"/>
  <c r="AB238"/>
  <c r="AC238"/>
  <c r="AD238"/>
  <c r="AE238"/>
  <c r="AF238"/>
  <c r="AA239"/>
  <c r="AB239"/>
  <c r="AC239"/>
  <c r="AD239"/>
  <c r="AE239"/>
  <c r="AF239"/>
  <c r="AA240"/>
  <c r="AB240"/>
  <c r="AC240"/>
  <c r="AD240"/>
  <c r="AE240"/>
  <c r="AF240"/>
  <c r="AA241"/>
  <c r="AB241"/>
  <c r="AC241"/>
  <c r="AD241"/>
  <c r="AE241"/>
  <c r="AF241"/>
  <c r="AA242"/>
  <c r="AB242"/>
  <c r="AC242"/>
  <c r="AD242"/>
  <c r="AE242"/>
  <c r="AF242"/>
  <c r="AA243"/>
  <c r="AB243"/>
  <c r="AC243"/>
  <c r="AD243"/>
  <c r="AE243"/>
  <c r="AF243"/>
  <c r="AA244"/>
  <c r="AB244"/>
  <c r="AC244"/>
  <c r="AD244"/>
  <c r="AE244"/>
  <c r="AF244"/>
  <c r="AA245"/>
  <c r="AB245"/>
  <c r="AC245"/>
  <c r="AD245"/>
  <c r="AE245"/>
  <c r="AF245"/>
  <c r="AA246"/>
  <c r="AB246"/>
  <c r="AC246"/>
  <c r="AD246"/>
  <c r="AE246"/>
  <c r="AF246"/>
  <c r="AA247"/>
  <c r="AB247"/>
  <c r="AC247"/>
  <c r="AD247"/>
  <c r="AE247"/>
  <c r="AF247"/>
  <c r="AA248"/>
  <c r="AB248"/>
  <c r="AC248"/>
  <c r="AD248"/>
  <c r="AE248"/>
  <c r="AF248"/>
  <c r="AA249"/>
  <c r="AB249"/>
  <c r="AC249"/>
  <c r="AD249"/>
  <c r="AE249"/>
  <c r="AF249"/>
  <c r="AA250"/>
  <c r="AB250"/>
  <c r="AC250"/>
  <c r="AD250"/>
  <c r="AE250"/>
  <c r="AF250"/>
  <c r="AA251"/>
  <c r="AB251"/>
  <c r="AC251"/>
  <c r="AD251"/>
  <c r="AE251"/>
  <c r="AF251"/>
  <c r="AA252"/>
  <c r="AB252"/>
  <c r="AC252"/>
  <c r="AD252"/>
  <c r="AE252"/>
  <c r="AF252"/>
  <c r="AA253"/>
  <c r="AB253"/>
  <c r="AC253"/>
  <c r="AD253"/>
  <c r="AE253"/>
  <c r="AF253"/>
  <c r="AA254"/>
  <c r="AB254"/>
  <c r="AC254"/>
  <c r="AD254"/>
  <c r="AE254"/>
  <c r="AF254"/>
  <c r="AA255"/>
  <c r="AB255"/>
  <c r="AC255"/>
  <c r="AD255"/>
  <c r="AE255"/>
  <c r="AF255"/>
  <c r="AA256"/>
  <c r="AB256"/>
  <c r="AC256"/>
  <c r="AD256"/>
  <c r="AE256"/>
  <c r="AF256"/>
  <c r="AA257"/>
  <c r="AB257"/>
  <c r="AC257"/>
  <c r="AD257"/>
  <c r="AE257"/>
  <c r="AF257"/>
  <c r="AA258"/>
  <c r="AB258"/>
  <c r="AC258"/>
  <c r="AD258"/>
  <c r="AE258"/>
  <c r="AF258"/>
  <c r="AA259"/>
  <c r="AB259"/>
  <c r="AC259"/>
  <c r="AD259"/>
  <c r="AE259"/>
  <c r="AF259"/>
  <c r="AA260"/>
  <c r="AB260"/>
  <c r="AC260"/>
  <c r="AD260"/>
  <c r="AE260"/>
  <c r="AF260"/>
  <c r="AA261"/>
  <c r="AB261"/>
  <c r="AC261"/>
  <c r="AD261"/>
  <c r="AE261"/>
  <c r="AF261"/>
  <c r="AA262"/>
  <c r="AB262"/>
  <c r="AC262"/>
  <c r="AD262"/>
  <c r="AE262"/>
  <c r="AF262"/>
  <c r="AA263"/>
  <c r="AB263"/>
  <c r="AC263"/>
  <c r="AD263"/>
  <c r="AE263"/>
  <c r="AF263"/>
  <c r="AA264"/>
  <c r="AB264"/>
  <c r="AC264"/>
  <c r="AD264"/>
  <c r="AE264"/>
  <c r="AF264"/>
  <c r="AA265"/>
  <c r="AB265"/>
  <c r="AC265"/>
  <c r="AD265"/>
  <c r="AE265"/>
  <c r="AF265"/>
  <c r="AA266"/>
  <c r="AB266"/>
  <c r="AC266"/>
  <c r="AD266"/>
  <c r="AE266"/>
  <c r="AF266"/>
  <c r="AA267"/>
  <c r="AB267"/>
  <c r="AC267"/>
  <c r="AD267"/>
  <c r="AE267"/>
  <c r="AF267"/>
  <c r="AA268"/>
  <c r="AB268"/>
  <c r="AC268"/>
  <c r="AD268"/>
  <c r="AE268"/>
  <c r="AF268"/>
  <c r="AA269"/>
  <c r="AB269"/>
  <c r="AC269"/>
  <c r="AD269"/>
  <c r="AE269"/>
  <c r="AF269"/>
  <c r="AA270"/>
  <c r="AB270"/>
  <c r="AC270"/>
  <c r="AD270"/>
  <c r="AE270"/>
  <c r="AF270"/>
  <c r="AA271"/>
  <c r="AB271"/>
  <c r="AC271"/>
  <c r="AD271"/>
  <c r="AE271"/>
  <c r="AF271"/>
  <c r="AA272"/>
  <c r="AB272"/>
  <c r="AC272"/>
  <c r="AD272"/>
  <c r="AE272"/>
  <c r="AF272"/>
  <c r="AA273"/>
  <c r="AB273"/>
  <c r="AC273"/>
  <c r="AD273"/>
  <c r="AE273"/>
  <c r="AF273"/>
  <c r="AA274"/>
  <c r="AB274"/>
  <c r="AC274"/>
  <c r="AD274"/>
  <c r="AE274"/>
  <c r="AF274"/>
  <c r="AA275"/>
  <c r="AB275"/>
  <c r="AC275"/>
  <c r="AD275"/>
  <c r="AE275"/>
  <c r="AF275"/>
  <c r="AA276"/>
  <c r="AB276"/>
  <c r="AC276"/>
  <c r="AD276"/>
  <c r="AE276"/>
  <c r="AF276"/>
  <c r="AA277"/>
  <c r="AB277"/>
  <c r="AC277"/>
  <c r="AD277"/>
  <c r="AE277"/>
  <c r="AF277"/>
  <c r="AA278"/>
  <c r="AB278"/>
  <c r="AC278"/>
  <c r="AD278"/>
  <c r="AE278"/>
  <c r="AF278"/>
  <c r="AA279"/>
  <c r="AB279"/>
  <c r="AC279"/>
  <c r="AD279"/>
  <c r="AE279"/>
  <c r="AF279"/>
  <c r="AA280"/>
  <c r="AB280"/>
  <c r="AC280"/>
  <c r="AD280"/>
  <c r="AE280"/>
  <c r="AF280"/>
  <c r="AA281"/>
  <c r="AB281"/>
  <c r="AC281"/>
  <c r="AD281"/>
  <c r="AE281"/>
  <c r="AF281"/>
  <c r="AA282"/>
  <c r="AB282"/>
  <c r="AC282"/>
  <c r="AD282"/>
  <c r="AE282"/>
  <c r="AF282"/>
  <c r="AA283"/>
  <c r="AB283"/>
  <c r="AC283"/>
  <c r="AD283"/>
  <c r="AE283"/>
  <c r="AF283"/>
  <c r="AA284"/>
  <c r="AB284"/>
  <c r="AC284"/>
  <c r="AD284"/>
  <c r="AE284"/>
  <c r="AF284"/>
  <c r="AA285"/>
  <c r="AB285"/>
  <c r="AC285"/>
  <c r="AD285"/>
  <c r="AE285"/>
  <c r="AF285"/>
  <c r="AA286"/>
  <c r="AB286"/>
  <c r="AC286"/>
  <c r="AD286"/>
  <c r="AE286"/>
  <c r="AF286"/>
  <c r="AA287"/>
  <c r="AB287"/>
  <c r="AC287"/>
  <c r="AD287"/>
  <c r="AE287"/>
  <c r="AF287"/>
  <c r="AA288"/>
  <c r="AB288"/>
  <c r="AC288"/>
  <c r="AD288"/>
  <c r="AE288"/>
  <c r="AF288"/>
  <c r="AA289"/>
  <c r="AB289"/>
  <c r="AC289"/>
  <c r="AD289"/>
  <c r="AE289"/>
  <c r="AF289"/>
  <c r="AA290"/>
  <c r="AB290"/>
  <c r="AC290"/>
  <c r="AD290"/>
  <c r="AE290"/>
  <c r="AF290"/>
  <c r="AA291"/>
  <c r="AB291"/>
  <c r="AC291"/>
  <c r="AD291"/>
  <c r="AE291"/>
  <c r="AF291"/>
  <c r="AA292"/>
  <c r="AB292"/>
  <c r="AC292"/>
  <c r="AD292"/>
  <c r="AE292"/>
  <c r="AF292"/>
  <c r="AA293"/>
  <c r="AB293"/>
  <c r="AC293"/>
  <c r="AD293"/>
  <c r="AE293"/>
  <c r="AF293"/>
  <c r="AA294"/>
  <c r="AB294"/>
  <c r="AC294"/>
  <c r="AD294"/>
  <c r="AE294"/>
  <c r="AF294"/>
  <c r="AA295"/>
  <c r="AB295"/>
  <c r="AC295"/>
  <c r="AD295"/>
  <c r="AE295"/>
  <c r="AF295"/>
  <c r="AA296"/>
  <c r="AB296"/>
  <c r="AC296"/>
  <c r="AD296"/>
  <c r="AE296"/>
  <c r="AF296"/>
  <c r="AA297"/>
  <c r="AB297"/>
  <c r="AC297"/>
  <c r="AD297"/>
  <c r="AE297"/>
  <c r="AF297"/>
  <c r="AA298"/>
  <c r="AB298"/>
  <c r="AC298"/>
  <c r="AD298"/>
  <c r="AE298"/>
  <c r="AF298"/>
  <c r="AA299"/>
  <c r="AB299"/>
  <c r="AC299"/>
  <c r="AD299"/>
  <c r="AE299"/>
  <c r="AF299"/>
  <c r="AA300"/>
  <c r="AB300"/>
  <c r="AC300"/>
  <c r="AD300"/>
  <c r="AE300"/>
  <c r="AF300"/>
  <c r="AA301"/>
  <c r="AB301"/>
  <c r="AC301"/>
  <c r="AD301"/>
  <c r="AE301"/>
  <c r="AF301"/>
  <c r="AA302"/>
  <c r="AB302"/>
  <c r="AC302"/>
  <c r="AD302"/>
  <c r="AE302"/>
  <c r="AF302"/>
  <c r="AA303"/>
  <c r="AB303"/>
  <c r="AC303"/>
  <c r="AD303"/>
  <c r="AE303"/>
  <c r="AF303"/>
  <c r="AA304"/>
  <c r="AB304"/>
  <c r="AC304"/>
  <c r="AD304"/>
  <c r="AE304"/>
  <c r="AF304"/>
  <c r="AA305"/>
  <c r="AB305"/>
  <c r="AC305"/>
  <c r="AD305"/>
  <c r="AE305"/>
  <c r="AF305"/>
  <c r="AA306"/>
  <c r="AB306"/>
  <c r="AC306"/>
  <c r="AD306"/>
  <c r="AE306"/>
  <c r="AF306"/>
  <c r="AA307"/>
  <c r="AB307"/>
  <c r="AC307"/>
  <c r="AD307"/>
  <c r="AE307"/>
  <c r="AF307"/>
  <c r="AA308"/>
  <c r="AB308"/>
  <c r="AC308"/>
  <c r="AD308"/>
  <c r="AE308"/>
  <c r="AF308"/>
  <c r="AA309"/>
  <c r="AB309"/>
  <c r="AC309"/>
  <c r="AD309"/>
  <c r="AE309"/>
  <c r="AF309"/>
  <c r="AA310"/>
  <c r="AB310"/>
  <c r="AC310"/>
  <c r="AD310"/>
  <c r="AE310"/>
  <c r="AF310"/>
  <c r="AA311"/>
  <c r="AB311"/>
  <c r="AC311"/>
  <c r="AD311"/>
  <c r="AE311"/>
  <c r="AF311"/>
  <c r="AA312"/>
  <c r="AB312"/>
  <c r="AC312"/>
  <c r="AD312"/>
  <c r="AE312"/>
  <c r="AF312"/>
  <c r="AA313"/>
  <c r="AB313"/>
  <c r="AC313"/>
  <c r="AD313"/>
  <c r="AE313"/>
  <c r="AF313"/>
  <c r="AA314"/>
  <c r="AB314"/>
  <c r="AC314"/>
  <c r="AD314"/>
  <c r="AE314"/>
  <c r="AF314"/>
  <c r="AA315"/>
  <c r="AB315"/>
  <c r="AC315"/>
  <c r="AD315"/>
  <c r="AE315"/>
  <c r="AF315"/>
  <c r="AA316"/>
  <c r="AB316"/>
  <c r="AC316"/>
  <c r="AD316"/>
  <c r="AE316"/>
  <c r="AF316"/>
  <c r="AA317"/>
  <c r="AB317"/>
  <c r="AC317"/>
  <c r="AD317"/>
  <c r="AE317"/>
  <c r="AF317"/>
  <c r="AA318"/>
  <c r="AB318"/>
  <c r="AC318"/>
  <c r="AD318"/>
  <c r="AE318"/>
  <c r="AF318"/>
  <c r="AA319"/>
  <c r="AB319"/>
  <c r="AC319"/>
  <c r="AD319"/>
  <c r="AE319"/>
  <c r="AF319"/>
  <c r="AA320"/>
  <c r="AB320"/>
  <c r="AC320"/>
  <c r="AD320"/>
  <c r="AE320"/>
  <c r="AF320"/>
  <c r="AA321"/>
  <c r="AB321"/>
  <c r="AC321"/>
  <c r="AD321"/>
  <c r="AE321"/>
  <c r="AF321"/>
  <c r="AA322"/>
  <c r="AB322"/>
  <c r="AC322"/>
  <c r="AD322"/>
  <c r="AE322"/>
  <c r="AF322"/>
  <c r="AA323"/>
  <c r="AB323"/>
  <c r="AC323"/>
  <c r="AD323"/>
  <c r="AE323"/>
  <c r="AF323"/>
  <c r="AA324"/>
  <c r="AB324"/>
  <c r="AC324"/>
  <c r="AD324"/>
  <c r="AE324"/>
  <c r="AF324"/>
  <c r="AA325"/>
  <c r="AB325"/>
  <c r="AC325"/>
  <c r="AD325"/>
  <c r="AE325"/>
  <c r="AF325"/>
  <c r="AA326"/>
  <c r="AB326"/>
  <c r="AC326"/>
  <c r="AD326"/>
  <c r="AE326"/>
  <c r="AF326"/>
  <c r="AA327"/>
  <c r="AB327"/>
  <c r="AC327"/>
  <c r="AD327"/>
  <c r="AE327"/>
  <c r="AF327"/>
  <c r="AA328"/>
  <c r="AB328"/>
  <c r="AC328"/>
  <c r="AD328"/>
  <c r="AE328"/>
  <c r="AF328"/>
  <c r="AA329"/>
  <c r="AB329"/>
  <c r="AC329"/>
  <c r="AD329"/>
  <c r="AE329"/>
  <c r="AF329"/>
  <c r="AA330"/>
  <c r="AB330"/>
  <c r="AC330"/>
  <c r="AD330"/>
  <c r="AE330"/>
  <c r="AF330"/>
  <c r="AA331"/>
  <c r="AB331"/>
  <c r="AC331"/>
  <c r="AD331"/>
  <c r="AE331"/>
  <c r="AF331"/>
  <c r="AA332"/>
  <c r="AB332"/>
  <c r="AC332"/>
  <c r="AD332"/>
  <c r="AE332"/>
  <c r="AF332"/>
  <c r="AA333"/>
  <c r="AB333"/>
  <c r="AC333"/>
  <c r="AD333"/>
  <c r="AE333"/>
  <c r="AF333"/>
  <c r="AA334"/>
  <c r="AB334"/>
  <c r="AC334"/>
  <c r="AD334"/>
  <c r="AE334"/>
  <c r="AF334"/>
  <c r="AA335"/>
  <c r="AB335"/>
  <c r="AC335"/>
  <c r="AD335"/>
  <c r="AE335"/>
  <c r="AF335"/>
  <c r="AA336"/>
  <c r="AB336"/>
  <c r="AC336"/>
  <c r="AD336"/>
  <c r="AE336"/>
  <c r="AF336"/>
  <c r="AA337"/>
  <c r="AB337"/>
  <c r="AC337"/>
  <c r="AD337"/>
  <c r="AE337"/>
  <c r="AF337"/>
  <c r="AA338"/>
  <c r="AB338"/>
  <c r="AC338"/>
  <c r="AD338"/>
  <c r="AE338"/>
  <c r="AF338"/>
  <c r="AA339"/>
  <c r="AB339"/>
  <c r="AC339"/>
  <c r="AD339"/>
  <c r="AE339"/>
  <c r="AF339"/>
  <c r="AA340"/>
  <c r="AB340"/>
  <c r="AC340"/>
  <c r="AD340"/>
  <c r="AE340"/>
  <c r="AF340"/>
  <c r="AA341"/>
  <c r="AB341"/>
  <c r="AC341"/>
  <c r="AD341"/>
  <c r="AE341"/>
  <c r="AF341"/>
  <c r="AA342"/>
  <c r="AB342"/>
  <c r="AC342"/>
  <c r="AD342"/>
  <c r="AE342"/>
  <c r="AF342"/>
  <c r="AA343"/>
  <c r="AB343"/>
  <c r="AC343"/>
  <c r="AD343"/>
  <c r="AE343"/>
  <c r="AF343"/>
  <c r="AA344"/>
  <c r="AB344"/>
  <c r="AC344"/>
  <c r="AD344"/>
  <c r="AE344"/>
  <c r="AF344"/>
  <c r="AA345"/>
  <c r="AB345"/>
  <c r="AC345"/>
  <c r="AD345"/>
  <c r="AE345"/>
  <c r="AF345"/>
  <c r="AA346"/>
  <c r="AB346"/>
  <c r="AC346"/>
  <c r="AD346"/>
  <c r="AE346"/>
  <c r="AF346"/>
  <c r="AA347"/>
  <c r="AB347"/>
  <c r="AC347"/>
  <c r="AD347"/>
  <c r="AE347"/>
  <c r="AF347"/>
  <c r="AA348"/>
  <c r="AB348"/>
  <c r="AC348"/>
  <c r="AD348"/>
  <c r="AE348"/>
  <c r="AF348"/>
  <c r="AA349"/>
  <c r="AB349"/>
  <c r="AC349"/>
  <c r="AD349"/>
  <c r="AE349"/>
  <c r="AF349"/>
  <c r="AA350"/>
  <c r="AB350"/>
  <c r="AC350"/>
  <c r="AD350"/>
  <c r="AE350"/>
  <c r="AF350"/>
  <c r="AA351"/>
  <c r="AB351"/>
  <c r="AC351"/>
  <c r="AD351"/>
  <c r="AE351"/>
  <c r="AF351"/>
  <c r="AA352"/>
  <c r="AB352"/>
  <c r="AC352"/>
  <c r="AD352"/>
  <c r="AE352"/>
  <c r="AF352"/>
  <c r="AA353"/>
  <c r="AB353"/>
  <c r="AC353"/>
  <c r="AD353"/>
  <c r="AE353"/>
  <c r="AF353"/>
  <c r="AA354"/>
  <c r="AB354"/>
  <c r="AC354"/>
  <c r="AD354"/>
  <c r="AE354"/>
  <c r="AF354"/>
  <c r="AA355"/>
  <c r="AB355"/>
  <c r="AC355"/>
  <c r="AD355"/>
  <c r="AE355"/>
  <c r="AF355"/>
  <c r="AA356"/>
  <c r="AB356"/>
  <c r="AC356"/>
  <c r="AD356"/>
  <c r="AE356"/>
  <c r="AF356"/>
  <c r="AA357"/>
  <c r="AB357"/>
  <c r="AC357"/>
  <c r="AD357"/>
  <c r="AE357"/>
  <c r="AF357"/>
  <c r="AA358"/>
  <c r="AB358"/>
  <c r="AC358"/>
  <c r="AD358"/>
  <c r="AE358"/>
  <c r="AF358"/>
  <c r="AA359"/>
  <c r="AB359"/>
  <c r="AC359"/>
  <c r="AD359"/>
  <c r="AE359"/>
  <c r="AF359"/>
  <c r="AA360"/>
  <c r="AB360"/>
  <c r="AC360"/>
  <c r="AD360"/>
  <c r="AE360"/>
  <c r="AF360"/>
  <c r="AA361"/>
  <c r="AB361"/>
  <c r="AC361"/>
  <c r="AD361"/>
  <c r="AE361"/>
  <c r="AF361"/>
  <c r="AA362"/>
  <c r="AB362"/>
  <c r="AC362"/>
  <c r="AD362"/>
  <c r="AE362"/>
  <c r="AF362"/>
  <c r="AA363"/>
  <c r="AB363"/>
  <c r="AC363"/>
  <c r="AD363"/>
  <c r="AE363"/>
  <c r="AF363"/>
  <c r="AA364"/>
  <c r="AB364"/>
  <c r="AC364"/>
  <c r="AD364"/>
  <c r="AE364"/>
  <c r="AF364"/>
  <c r="AA365"/>
  <c r="AB365"/>
  <c r="AC365"/>
  <c r="AD365"/>
  <c r="AE365"/>
  <c r="AF365"/>
  <c r="AA366"/>
  <c r="AB366"/>
  <c r="AC366"/>
  <c r="AD366"/>
  <c r="AE366"/>
  <c r="AF366"/>
  <c r="AA367"/>
  <c r="AB367"/>
  <c r="AC367"/>
  <c r="AD367"/>
  <c r="AE367"/>
  <c r="AF367"/>
  <c r="AA368"/>
  <c r="AB368"/>
  <c r="AC368"/>
  <c r="AD368"/>
  <c r="AE368"/>
  <c r="AF368"/>
  <c r="AA369"/>
  <c r="AB369"/>
  <c r="AC369"/>
  <c r="AD369"/>
  <c r="AE369"/>
  <c r="AF369"/>
  <c r="AA370"/>
  <c r="AB370"/>
  <c r="AC370"/>
  <c r="AD370"/>
  <c r="AE370"/>
  <c r="AF370"/>
  <c r="AA371"/>
  <c r="AB371"/>
  <c r="AC371"/>
  <c r="AD371"/>
  <c r="AE371"/>
  <c r="AF371"/>
  <c r="AA372"/>
  <c r="AB372"/>
  <c r="AC372"/>
  <c r="AD372"/>
  <c r="AE372"/>
  <c r="AF372"/>
  <c r="AA373"/>
  <c r="AB373"/>
  <c r="AC373"/>
  <c r="AD373"/>
  <c r="AE373"/>
  <c r="AF373"/>
  <c r="AA374"/>
  <c r="AB374"/>
  <c r="AC374"/>
  <c r="AD374"/>
  <c r="AE374"/>
  <c r="AF374"/>
  <c r="AA375"/>
  <c r="AB375"/>
  <c r="AC375"/>
  <c r="AD375"/>
  <c r="AE375"/>
  <c r="AF375"/>
  <c r="AA376"/>
  <c r="AB376"/>
  <c r="AC376"/>
  <c r="AD376"/>
  <c r="AE376"/>
  <c r="AF376"/>
  <c r="AA377"/>
  <c r="AB377"/>
  <c r="AC377"/>
  <c r="AD377"/>
  <c r="AE377"/>
  <c r="AF377"/>
  <c r="AA378"/>
  <c r="AB378"/>
  <c r="AC378"/>
  <c r="AD378"/>
  <c r="AE378"/>
  <c r="AF378"/>
  <c r="AA379"/>
  <c r="AB379"/>
  <c r="AC379"/>
  <c r="AD379"/>
  <c r="AE379"/>
  <c r="AF379"/>
  <c r="AA387"/>
  <c r="AB387"/>
  <c r="AC387"/>
  <c r="AD387"/>
  <c r="AE387"/>
  <c r="AF387"/>
  <c r="AA388"/>
  <c r="AB388"/>
  <c r="AC388"/>
  <c r="AD388"/>
  <c r="AE388"/>
  <c r="AF388"/>
  <c r="AA389"/>
  <c r="AB389"/>
  <c r="AC389"/>
  <c r="AD389"/>
  <c r="AE389"/>
  <c r="AF389"/>
  <c r="AA390"/>
  <c r="AB390"/>
  <c r="AC390"/>
  <c r="AD390"/>
  <c r="AE390"/>
  <c r="AF390"/>
  <c r="AA391"/>
  <c r="AB391"/>
  <c r="AC391"/>
  <c r="AD391"/>
  <c r="AE391"/>
  <c r="AF391"/>
  <c r="AA392"/>
  <c r="AB392"/>
  <c r="AC392"/>
  <c r="AD392"/>
  <c r="AE392"/>
  <c r="AF392"/>
  <c r="AA393"/>
  <c r="AB393"/>
  <c r="AC393"/>
  <c r="AD393"/>
  <c r="AE393"/>
  <c r="AF393"/>
  <c r="AA394"/>
  <c r="AB394"/>
  <c r="AC394"/>
  <c r="AD394"/>
  <c r="AE394"/>
  <c r="AF394"/>
  <c r="AA395"/>
  <c r="AB395"/>
  <c r="AC395"/>
  <c r="AD395"/>
  <c r="AE395"/>
  <c r="AF395"/>
  <c r="AA396"/>
  <c r="AB396"/>
  <c r="AC396"/>
  <c r="AD396"/>
  <c r="AE396"/>
  <c r="AF396"/>
  <c r="AA397"/>
  <c r="AB397"/>
  <c r="AC397"/>
  <c r="AD397"/>
  <c r="AE397"/>
  <c r="AF397"/>
  <c r="AA400"/>
  <c r="AB400"/>
  <c r="AC400"/>
  <c r="AD400"/>
  <c r="AE400"/>
  <c r="AF400"/>
  <c r="AA401"/>
  <c r="AB401"/>
  <c r="AC401"/>
  <c r="AD401"/>
  <c r="AE401"/>
  <c r="AF401"/>
  <c r="AA402"/>
  <c r="AB402"/>
  <c r="AC402"/>
  <c r="AD402"/>
  <c r="AE402"/>
  <c r="AF402"/>
  <c r="AA403"/>
  <c r="AB403"/>
  <c r="AC403"/>
  <c r="AD403"/>
  <c r="AE403"/>
  <c r="AF403"/>
  <c r="AA404"/>
  <c r="AB404"/>
  <c r="AC404"/>
  <c r="AD404"/>
  <c r="AE404"/>
  <c r="AF404"/>
  <c r="AA405"/>
  <c r="AB405"/>
  <c r="AC405"/>
  <c r="AD405"/>
  <c r="AE405"/>
  <c r="AF405"/>
  <c r="AA406"/>
  <c r="AB406"/>
  <c r="AC406"/>
  <c r="AD406"/>
  <c r="AE406"/>
  <c r="AF406"/>
  <c r="AA407"/>
  <c r="AB407"/>
  <c r="AC407"/>
  <c r="AD407"/>
  <c r="AE407"/>
  <c r="AF407"/>
  <c r="AA408"/>
  <c r="AB408"/>
  <c r="AC408"/>
  <c r="AD408"/>
  <c r="AE408"/>
  <c r="AF408"/>
  <c r="AA409"/>
  <c r="AB409"/>
  <c r="AC409"/>
  <c r="AD409"/>
  <c r="AE409"/>
  <c r="AF409"/>
  <c r="AA410"/>
  <c r="AB410"/>
  <c r="AC410"/>
  <c r="AD410"/>
  <c r="AE410"/>
  <c r="AF410"/>
  <c r="AA411"/>
  <c r="AB411"/>
  <c r="AC411"/>
  <c r="AD411"/>
  <c r="AE411"/>
  <c r="AF411"/>
  <c r="AA412"/>
  <c r="AB412"/>
  <c r="AC412"/>
  <c r="AD412"/>
  <c r="AE412"/>
  <c r="AF412"/>
  <c r="AA413"/>
  <c r="AB413"/>
  <c r="AC413"/>
  <c r="AD413"/>
  <c r="AE413"/>
  <c r="AF413"/>
  <c r="AA414"/>
  <c r="AB414"/>
  <c r="AC414"/>
  <c r="AD414"/>
  <c r="AE414"/>
  <c r="AF414"/>
  <c r="AA415"/>
  <c r="AB415"/>
  <c r="AC415"/>
  <c r="AD415"/>
  <c r="AE415"/>
  <c r="AF415"/>
  <c r="AA416"/>
  <c r="AB416"/>
  <c r="AC416"/>
  <c r="AD416"/>
  <c r="AE416"/>
  <c r="AF416"/>
  <c r="AA417"/>
  <c r="AB417"/>
  <c r="AC417"/>
  <c r="AD417"/>
  <c r="AE417"/>
  <c r="AF417"/>
  <c r="AA418"/>
  <c r="AB418"/>
  <c r="AC418"/>
  <c r="AD418"/>
  <c r="AE418"/>
  <c r="AF418"/>
  <c r="AA419"/>
  <c r="AB419"/>
  <c r="AC419"/>
  <c r="AD419"/>
  <c r="AE419"/>
  <c r="AF419"/>
  <c r="AA420"/>
  <c r="AB420"/>
  <c r="AC420"/>
  <c r="AD420"/>
  <c r="AE420"/>
  <c r="AF420"/>
  <c r="AA421"/>
  <c r="AB421"/>
  <c r="AC421"/>
  <c r="AD421"/>
  <c r="AE421"/>
  <c r="AF421"/>
  <c r="AA422"/>
  <c r="AB422"/>
  <c r="AC422"/>
  <c r="AD422"/>
  <c r="AE422"/>
  <c r="AF422"/>
  <c r="AA423"/>
  <c r="AB423"/>
  <c r="AC423"/>
  <c r="AD423"/>
  <c r="AE423"/>
  <c r="AF423"/>
  <c r="AA424"/>
  <c r="AB424"/>
  <c r="AC424"/>
  <c r="AD424"/>
  <c r="AE424"/>
  <c r="AF424"/>
  <c r="AA425"/>
  <c r="AB425"/>
  <c r="AC425"/>
  <c r="AD425"/>
  <c r="AE425"/>
  <c r="AF425"/>
  <c r="AA426"/>
  <c r="AB426"/>
  <c r="AC426"/>
  <c r="AD426"/>
  <c r="AE426"/>
  <c r="AF426"/>
  <c r="AA427"/>
  <c r="AB427"/>
  <c r="AC427"/>
  <c r="AD427"/>
  <c r="AE427"/>
  <c r="AF427"/>
  <c r="AA428"/>
  <c r="AB428"/>
  <c r="AC428"/>
  <c r="AD428"/>
  <c r="AE428"/>
  <c r="AF428"/>
  <c r="AA429"/>
  <c r="AB429"/>
  <c r="AC429"/>
  <c r="AD429"/>
  <c r="AE429"/>
  <c r="AF429"/>
  <c r="AA430"/>
  <c r="AB430"/>
  <c r="AC430"/>
  <c r="AD430"/>
  <c r="AE430"/>
  <c r="AF430"/>
  <c r="AA431"/>
  <c r="AB431"/>
  <c r="AC431"/>
  <c r="AD431"/>
  <c r="AE431"/>
  <c r="AF431"/>
  <c r="AA432"/>
  <c r="AB432"/>
  <c r="AC432"/>
  <c r="AD432"/>
  <c r="AE432"/>
  <c r="AF432"/>
  <c r="AA433"/>
  <c r="AB433"/>
  <c r="AC433"/>
  <c r="AD433"/>
  <c r="AE433"/>
  <c r="AF433"/>
  <c r="AA434"/>
  <c r="AB434"/>
  <c r="AC434"/>
  <c r="AD434"/>
  <c r="AE434"/>
  <c r="AF434"/>
  <c r="AA435"/>
  <c r="AB435"/>
  <c r="AC435"/>
  <c r="AD435"/>
  <c r="AE435"/>
  <c r="AF435"/>
  <c r="AA436"/>
  <c r="AB436"/>
  <c r="AC436"/>
  <c r="AD436"/>
  <c r="AE436"/>
  <c r="AF436"/>
  <c r="AA437"/>
  <c r="AB437"/>
  <c r="AC437"/>
  <c r="AD437"/>
  <c r="AE437"/>
  <c r="AF437"/>
  <c r="AA438"/>
  <c r="AB438"/>
  <c r="AC438"/>
  <c r="AD438"/>
  <c r="AE438"/>
  <c r="AF438"/>
  <c r="AA439"/>
  <c r="AB439"/>
  <c r="AC439"/>
  <c r="AD439"/>
  <c r="AE439"/>
  <c r="AF439"/>
  <c r="AA440"/>
  <c r="AB440"/>
  <c r="AC440"/>
  <c r="AD440"/>
  <c r="AE440"/>
  <c r="AF440"/>
  <c r="AA441"/>
  <c r="AB441"/>
  <c r="AC441"/>
  <c r="AD441"/>
  <c r="AE441"/>
  <c r="AF441"/>
  <c r="AA442"/>
  <c r="AB442"/>
  <c r="AC442"/>
  <c r="AD442"/>
  <c r="AE442"/>
  <c r="AF442"/>
  <c r="AA443"/>
  <c r="AB443"/>
  <c r="AC443"/>
  <c r="AD443"/>
  <c r="AE443"/>
  <c r="AF443"/>
  <c r="AA444"/>
  <c r="AB444"/>
  <c r="AC444"/>
  <c r="AD444"/>
  <c r="AE444"/>
  <c r="AF444"/>
  <c r="AA445"/>
  <c r="AB445"/>
  <c r="AC445"/>
  <c r="AD445"/>
  <c r="AE445"/>
  <c r="AF445"/>
  <c r="AA446"/>
  <c r="AB446"/>
  <c r="AC446"/>
  <c r="AD446"/>
  <c r="AE446"/>
  <c r="AF446"/>
  <c r="AA447"/>
  <c r="AB447"/>
  <c r="AC447"/>
  <c r="AD447"/>
  <c r="AE447"/>
  <c r="AF447"/>
  <c r="AA448"/>
  <c r="AB448"/>
  <c r="AC448"/>
  <c r="AD448"/>
  <c r="AE448"/>
  <c r="AF448"/>
  <c r="AA449"/>
  <c r="AB449"/>
  <c r="AC449"/>
  <c r="AD449"/>
  <c r="AE449"/>
  <c r="AF449"/>
  <c r="AA450"/>
  <c r="AB450"/>
  <c r="AC450"/>
  <c r="AD450"/>
  <c r="AE450"/>
  <c r="AF450"/>
  <c r="AA451"/>
  <c r="AB451"/>
  <c r="AC451"/>
  <c r="AD451"/>
  <c r="AE451"/>
  <c r="AF451"/>
  <c r="AA452"/>
  <c r="AB452"/>
  <c r="AC452"/>
  <c r="AD452"/>
  <c r="AE452"/>
  <c r="AF452"/>
  <c r="AA453"/>
  <c r="AB453"/>
  <c r="AC453"/>
  <c r="AD453"/>
  <c r="AE453"/>
  <c r="AF453"/>
  <c r="AA454"/>
  <c r="AB454"/>
  <c r="AC454"/>
  <c r="AD454"/>
  <c r="AE454"/>
  <c r="AF454"/>
  <c r="AA455"/>
  <c r="AB455"/>
  <c r="AC455"/>
  <c r="AD455"/>
  <c r="AE455"/>
  <c r="AF455"/>
  <c r="AA456"/>
  <c r="AB456"/>
  <c r="AC456"/>
  <c r="AD456"/>
  <c r="AE456"/>
  <c r="AF456"/>
  <c r="AA457"/>
  <c r="AB457"/>
  <c r="AC457"/>
  <c r="AD457"/>
  <c r="AE457"/>
  <c r="AF457"/>
  <c r="AA458"/>
  <c r="AB458"/>
  <c r="AC458"/>
  <c r="AD458"/>
  <c r="AE458"/>
  <c r="AF458"/>
  <c r="AA459"/>
  <c r="AB459"/>
  <c r="AC459"/>
  <c r="AD459"/>
  <c r="AE459"/>
  <c r="AF459"/>
  <c r="AA460"/>
  <c r="AB460"/>
  <c r="AC460"/>
  <c r="AD460"/>
  <c r="AE460"/>
  <c r="AF460"/>
  <c r="AA461"/>
  <c r="AB461"/>
  <c r="AC461"/>
  <c r="AD461"/>
  <c r="AE461"/>
  <c r="AF461"/>
  <c r="AA462"/>
  <c r="AB462"/>
  <c r="AC462"/>
  <c r="AD462"/>
  <c r="AE462"/>
  <c r="AF462"/>
  <c r="AA463"/>
  <c r="AB463"/>
  <c r="AC463"/>
  <c r="AD463"/>
  <c r="AE463"/>
  <c r="AF463"/>
  <c r="AA464"/>
  <c r="AB464"/>
  <c r="AC464"/>
  <c r="AD464"/>
  <c r="AE464"/>
  <c r="AF464"/>
  <c r="AA465"/>
  <c r="AB465"/>
  <c r="AC465"/>
  <c r="AD465"/>
  <c r="AE465"/>
  <c r="AF465"/>
  <c r="AA466"/>
  <c r="AB466"/>
  <c r="AC466"/>
  <c r="AD466"/>
  <c r="AE466"/>
  <c r="AF466"/>
  <c r="AA467"/>
  <c r="AB467"/>
  <c r="AC467"/>
  <c r="AD467"/>
  <c r="AE467"/>
  <c r="AF467"/>
  <c r="AA468"/>
  <c r="AB468"/>
  <c r="AC468"/>
  <c r="AD468"/>
  <c r="AE468"/>
  <c r="AF468"/>
  <c r="AA469"/>
  <c r="AB469"/>
  <c r="AC469"/>
  <c r="AD469"/>
  <c r="AE469"/>
  <c r="AF469"/>
  <c r="AA470"/>
  <c r="AB470"/>
  <c r="AC470"/>
  <c r="AD470"/>
  <c r="AE470"/>
  <c r="AF470"/>
  <c r="AA471"/>
  <c r="AB471"/>
  <c r="AC471"/>
  <c r="AD471"/>
  <c r="AE471"/>
  <c r="AF471"/>
  <c r="AA472"/>
  <c r="AB472"/>
  <c r="AC472"/>
  <c r="AD472"/>
  <c r="AE472"/>
  <c r="AF472"/>
  <c r="AA473"/>
  <c r="AB473"/>
  <c r="AC473"/>
  <c r="AD473"/>
  <c r="AE473"/>
  <c r="AF473"/>
  <c r="AA474"/>
  <c r="AB474"/>
  <c r="AC474"/>
  <c r="AD474"/>
  <c r="AE474"/>
  <c r="AF474"/>
  <c r="AA475"/>
  <c r="AB475"/>
  <c r="AC475"/>
  <c r="AD475"/>
  <c r="AE475"/>
  <c r="AF475"/>
  <c r="AA476"/>
  <c r="AB476"/>
  <c r="AC476"/>
  <c r="AD476"/>
  <c r="AE476"/>
  <c r="AF476"/>
  <c r="AA477"/>
  <c r="AB477"/>
  <c r="AC477"/>
  <c r="AD477"/>
  <c r="AE477"/>
  <c r="AF477"/>
  <c r="AA478"/>
  <c r="AB478"/>
  <c r="AC478"/>
  <c r="AD478"/>
  <c r="AE478"/>
  <c r="AF478"/>
  <c r="AA479"/>
  <c r="AB479"/>
  <c r="AC479"/>
  <c r="AD479"/>
  <c r="AE479"/>
  <c r="AF479"/>
  <c r="AA480"/>
  <c r="AB480"/>
  <c r="AC480"/>
  <c r="AD480"/>
  <c r="AE480"/>
  <c r="AF480"/>
  <c r="AA481"/>
  <c r="AB481"/>
  <c r="AC481"/>
  <c r="AD481"/>
  <c r="AE481"/>
  <c r="AF481"/>
  <c r="AA482"/>
  <c r="AB482"/>
  <c r="AC482"/>
  <c r="AD482"/>
  <c r="AE482"/>
  <c r="AF482"/>
  <c r="AA483"/>
  <c r="AB483"/>
  <c r="AC483"/>
  <c r="AD483"/>
  <c r="AE483"/>
  <c r="AF483"/>
  <c r="AA484"/>
  <c r="AB484"/>
  <c r="AC484"/>
  <c r="AD484"/>
  <c r="AE484"/>
  <c r="AF484"/>
  <c r="AA485"/>
  <c r="AB485"/>
  <c r="AC485"/>
  <c r="AD485"/>
  <c r="AE485"/>
  <c r="AF485"/>
  <c r="AA486"/>
  <c r="AB486"/>
  <c r="AC486"/>
  <c r="AD486"/>
  <c r="AE486"/>
  <c r="AF486"/>
  <c r="AA487"/>
  <c r="AB487"/>
  <c r="AC487"/>
  <c r="AD487"/>
  <c r="AE487"/>
  <c r="AF487"/>
  <c r="AA488"/>
  <c r="AB488"/>
  <c r="AC488"/>
  <c r="AD488"/>
  <c r="AE488"/>
  <c r="AF488"/>
  <c r="AA489"/>
  <c r="AB489"/>
  <c r="AC489"/>
  <c r="AD489"/>
  <c r="AE489"/>
  <c r="AF489"/>
  <c r="AA490"/>
  <c r="AB490"/>
  <c r="AC490"/>
  <c r="AD490"/>
  <c r="AE490"/>
  <c r="AF490"/>
  <c r="AA491"/>
  <c r="AB491"/>
  <c r="AC491"/>
  <c r="AD491"/>
  <c r="AE491"/>
  <c r="AF491"/>
  <c r="AA492"/>
  <c r="AB492"/>
  <c r="AC492"/>
  <c r="AD492"/>
  <c r="AE492"/>
  <c r="AF492"/>
  <c r="AA493"/>
  <c r="AB493"/>
  <c r="AC493"/>
  <c r="AD493"/>
  <c r="AE493"/>
  <c r="AF493"/>
  <c r="AA494"/>
  <c r="AB494"/>
  <c r="AC494"/>
  <c r="AD494"/>
  <c r="AE494"/>
  <c r="AF494"/>
  <c r="AA495"/>
  <c r="AB495"/>
  <c r="AC495"/>
  <c r="AD495"/>
  <c r="AE495"/>
  <c r="AF495"/>
  <c r="AA496"/>
  <c r="AB496"/>
  <c r="AC496"/>
  <c r="AD496"/>
  <c r="AE496"/>
  <c r="AF496"/>
  <c r="AA497"/>
  <c r="AB497"/>
  <c r="AC497"/>
  <c r="AD497"/>
  <c r="AE497"/>
  <c r="AF497"/>
  <c r="AA498"/>
  <c r="AB498"/>
  <c r="AC498"/>
  <c r="AD498"/>
  <c r="AE498"/>
  <c r="AF498"/>
  <c r="AA499"/>
  <c r="AB499"/>
  <c r="AC499"/>
  <c r="AD499"/>
  <c r="AE499"/>
  <c r="AF499"/>
  <c r="AA500"/>
  <c r="AB500"/>
  <c r="AC500"/>
  <c r="AD500"/>
  <c r="AE500"/>
  <c r="AF500"/>
  <c r="AA501"/>
  <c r="AB501"/>
  <c r="AC501"/>
  <c r="AD501"/>
  <c r="AE501"/>
  <c r="AF501"/>
  <c r="AA502"/>
  <c r="AB502"/>
  <c r="AC502"/>
  <c r="AD502"/>
  <c r="AE502"/>
  <c r="AF502"/>
  <c r="AA503"/>
  <c r="AB503"/>
  <c r="AC503"/>
  <c r="AD503"/>
  <c r="AE503"/>
  <c r="AF503"/>
  <c r="AA504"/>
  <c r="AB504"/>
  <c r="AC504"/>
  <c r="AD504"/>
  <c r="AE504"/>
  <c r="AF504"/>
  <c r="AA505"/>
  <c r="AB505"/>
  <c r="AC505"/>
  <c r="AD505"/>
  <c r="AE505"/>
  <c r="AF505"/>
  <c r="AA506"/>
  <c r="AB506"/>
  <c r="AC506"/>
  <c r="AD506"/>
  <c r="AE506"/>
  <c r="AF506"/>
  <c r="AA507"/>
  <c r="AB507"/>
  <c r="AC507"/>
  <c r="AD507"/>
  <c r="AE507"/>
  <c r="AF507"/>
  <c r="AA508"/>
  <c r="AB508"/>
  <c r="AC508"/>
  <c r="AD508"/>
  <c r="AE508"/>
  <c r="AF508"/>
  <c r="AA509"/>
  <c r="AB509"/>
  <c r="AC509"/>
  <c r="AD509"/>
  <c r="AE509"/>
  <c r="AF509"/>
  <c r="AA510"/>
  <c r="AB510"/>
  <c r="AC510"/>
  <c r="AD510"/>
  <c r="AE510"/>
  <c r="AF510"/>
  <c r="AA511"/>
  <c r="AB511"/>
  <c r="AC511"/>
  <c r="AD511"/>
  <c r="AE511"/>
  <c r="AF511"/>
  <c r="AA512"/>
  <c r="AB512"/>
  <c r="AC512"/>
  <c r="AD512"/>
  <c r="AE512"/>
  <c r="AF512"/>
  <c r="AA513"/>
  <c r="AB513"/>
  <c r="AC513"/>
  <c r="AD513"/>
  <c r="AE513"/>
  <c r="AF513"/>
  <c r="AA514"/>
  <c r="AB514"/>
  <c r="AC514"/>
  <c r="AD514"/>
  <c r="AE514"/>
  <c r="AF514"/>
  <c r="AA515"/>
  <c r="AB515"/>
  <c r="AC515"/>
  <c r="AD515"/>
  <c r="AE515"/>
  <c r="AF515"/>
  <c r="AA516"/>
  <c r="AB516"/>
  <c r="AC516"/>
  <c r="AD516"/>
  <c r="AE516"/>
  <c r="AF516"/>
  <c r="AA517"/>
  <c r="AB517"/>
  <c r="AC517"/>
  <c r="AD517"/>
  <c r="AE517"/>
  <c r="AF517"/>
  <c r="AA518"/>
  <c r="AB518"/>
  <c r="AC518"/>
  <c r="AD518"/>
  <c r="AE518"/>
  <c r="AF518"/>
  <c r="AA519"/>
  <c r="AB519"/>
  <c r="AC519"/>
  <c r="AD519"/>
  <c r="AE519"/>
  <c r="AF519"/>
  <c r="AA520"/>
  <c r="AB520"/>
  <c r="AC520"/>
  <c r="AD520"/>
  <c r="AE520"/>
  <c r="AF520"/>
  <c r="AA521"/>
  <c r="AB521"/>
  <c r="AC521"/>
  <c r="AD521"/>
  <c r="AE521"/>
  <c r="AF521"/>
  <c r="AA522"/>
  <c r="AB522"/>
  <c r="AC522"/>
  <c r="AD522"/>
  <c r="AE522"/>
  <c r="AF522"/>
  <c r="AA523"/>
  <c r="AB523"/>
  <c r="AC523"/>
  <c r="AD523"/>
  <c r="AE523"/>
  <c r="AF523"/>
  <c r="AA524"/>
  <c r="AB524"/>
  <c r="AC524"/>
  <c r="AD524"/>
  <c r="AE524"/>
  <c r="AF524"/>
  <c r="AA525"/>
  <c r="AB525"/>
  <c r="AC525"/>
  <c r="AD525"/>
  <c r="AE525"/>
  <c r="AF525"/>
  <c r="AA526"/>
  <c r="AB526"/>
  <c r="AC526"/>
  <c r="AD526"/>
  <c r="AE526"/>
  <c r="AF526"/>
  <c r="AA527"/>
  <c r="AB527"/>
  <c r="AC527"/>
  <c r="AD527"/>
  <c r="AE527"/>
  <c r="AF527"/>
  <c r="AA528"/>
  <c r="AB528"/>
  <c r="AC528"/>
  <c r="AD528"/>
  <c r="AE528"/>
  <c r="AF528"/>
  <c r="AA529"/>
  <c r="AB529"/>
  <c r="AC529"/>
  <c r="AD529"/>
  <c r="AE529"/>
  <c r="AF529"/>
  <c r="AA530"/>
  <c r="AB530"/>
  <c r="AC530"/>
  <c r="AD530"/>
  <c r="AE530"/>
  <c r="AF530"/>
  <c r="AA531"/>
  <c r="AB531"/>
  <c r="AC531"/>
  <c r="AD531"/>
  <c r="AE531"/>
  <c r="AF531"/>
  <c r="AA532"/>
  <c r="AB532"/>
  <c r="AC532"/>
  <c r="AD532"/>
  <c r="AE532"/>
  <c r="AF532"/>
  <c r="AA533"/>
  <c r="AB533"/>
  <c r="AC533"/>
  <c r="AD533"/>
  <c r="AE533"/>
  <c r="AF533"/>
  <c r="AA534"/>
  <c r="AB534"/>
  <c r="AC534"/>
  <c r="AD534"/>
  <c r="AE534"/>
  <c r="AF534"/>
  <c r="AA535"/>
  <c r="AB535"/>
  <c r="AC535"/>
  <c r="AD535"/>
  <c r="AE535"/>
  <c r="AF535"/>
  <c r="AA536"/>
  <c r="AB536"/>
  <c r="AC536"/>
  <c r="AD536"/>
  <c r="AE536"/>
  <c r="AF536"/>
  <c r="AA537"/>
  <c r="AB537"/>
  <c r="AC537"/>
  <c r="AD537"/>
  <c r="AE537"/>
  <c r="AF537"/>
  <c r="AA538"/>
  <c r="AB538"/>
  <c r="AC538"/>
  <c r="AD538"/>
  <c r="AE538"/>
  <c r="AF538"/>
  <c r="AA539"/>
  <c r="AB539"/>
  <c r="AC539"/>
  <c r="AD539"/>
  <c r="AE539"/>
  <c r="AF539"/>
  <c r="AA540"/>
  <c r="AB540"/>
  <c r="AC540"/>
  <c r="AD540"/>
  <c r="AE540"/>
  <c r="AF540"/>
  <c r="AA541"/>
  <c r="AB541"/>
  <c r="AC541"/>
  <c r="AD541"/>
  <c r="AE541"/>
  <c r="AF541"/>
  <c r="AA542"/>
  <c r="AB542"/>
  <c r="AC542"/>
  <c r="AD542"/>
  <c r="AE542"/>
  <c r="AF542"/>
  <c r="AA543"/>
  <c r="AB543"/>
  <c r="AC543"/>
  <c r="AD543"/>
  <c r="AE543"/>
  <c r="AF543"/>
  <c r="AA544"/>
  <c r="AB544"/>
  <c r="AC544"/>
  <c r="AD544"/>
  <c r="AE544"/>
  <c r="AF544"/>
  <c r="AA545"/>
  <c r="AB545"/>
  <c r="AC545"/>
  <c r="AD545"/>
  <c r="AE545"/>
  <c r="AF545"/>
  <c r="AA546"/>
  <c r="AB546"/>
  <c r="AC546"/>
  <c r="AD546"/>
  <c r="AE546"/>
  <c r="AF546"/>
  <c r="AA547"/>
  <c r="AB547"/>
  <c r="AC547"/>
  <c r="AD547"/>
  <c r="AE547"/>
  <c r="AF547"/>
  <c r="AA548"/>
  <c r="AB548"/>
  <c r="AC548"/>
  <c r="AD548"/>
  <c r="AE548"/>
  <c r="AF548"/>
  <c r="AA549"/>
  <c r="AB549"/>
  <c r="AC549"/>
  <c r="AD549"/>
  <c r="AE549"/>
  <c r="AF549"/>
  <c r="AA550"/>
  <c r="AB550"/>
  <c r="AC550"/>
  <c r="AD550"/>
  <c r="AE550"/>
  <c r="AF550"/>
  <c r="AA551"/>
  <c r="AB551"/>
  <c r="AC551"/>
  <c r="AD551"/>
  <c r="AE551"/>
  <c r="AF551"/>
  <c r="AA552"/>
  <c r="AB552"/>
  <c r="AC552"/>
  <c r="AD552"/>
  <c r="AE552"/>
  <c r="AF552"/>
  <c r="AA553"/>
  <c r="AB553"/>
  <c r="AC553"/>
  <c r="AD553"/>
  <c r="AE553"/>
  <c r="AF553"/>
  <c r="AA554"/>
  <c r="AB554"/>
  <c r="AC554"/>
  <c r="AD554"/>
  <c r="AE554"/>
  <c r="AF554"/>
  <c r="AA555"/>
  <c r="AB555"/>
  <c r="AC555"/>
  <c r="AD555"/>
  <c r="AE555"/>
  <c r="AF555"/>
  <c r="AA556"/>
  <c r="AB556"/>
  <c r="AC556"/>
  <c r="AD556"/>
  <c r="AE556"/>
  <c r="AF556"/>
  <c r="AA557"/>
  <c r="AB557"/>
  <c r="AC557"/>
  <c r="AD557"/>
  <c r="AE557"/>
  <c r="AF557"/>
  <c r="AA558"/>
  <c r="AB558"/>
  <c r="AC558"/>
  <c r="AD558"/>
  <c r="AE558"/>
  <c r="AF558"/>
  <c r="AA559"/>
  <c r="AB559"/>
  <c r="AC559"/>
  <c r="AD559"/>
  <c r="AE559"/>
  <c r="AF559"/>
  <c r="AA560"/>
  <c r="AB560"/>
  <c r="AC560"/>
  <c r="AD560"/>
  <c r="AE560"/>
  <c r="AF560"/>
  <c r="AA561"/>
  <c r="AB561"/>
  <c r="AC561"/>
  <c r="AD561"/>
  <c r="AE561"/>
  <c r="AF561"/>
  <c r="AA562"/>
  <c r="AB562"/>
  <c r="AC562"/>
  <c r="AD562"/>
  <c r="AE562"/>
  <c r="AF562"/>
  <c r="AA563"/>
  <c r="AB563"/>
  <c r="AC563"/>
  <c r="AD563"/>
  <c r="AE563"/>
  <c r="AF563"/>
  <c r="AA564"/>
  <c r="AB564"/>
  <c r="AC564"/>
  <c r="AD564"/>
  <c r="AE564"/>
  <c r="AF564"/>
  <c r="AA565"/>
  <c r="AB565"/>
  <c r="AC565"/>
  <c r="AD565"/>
  <c r="AE565"/>
  <c r="AF565"/>
  <c r="AA566"/>
  <c r="AB566"/>
  <c r="AC566"/>
  <c r="AD566"/>
  <c r="AE566"/>
  <c r="AF566"/>
  <c r="AA567"/>
  <c r="AB567"/>
  <c r="AC567"/>
  <c r="AD567"/>
  <c r="AE567"/>
  <c r="AF567"/>
  <c r="AA568"/>
  <c r="AB568"/>
  <c r="AC568"/>
  <c r="AD568"/>
  <c r="AE568"/>
  <c r="AF568"/>
  <c r="AA569"/>
  <c r="AB569"/>
  <c r="AC569"/>
  <c r="AD569"/>
  <c r="AE569"/>
  <c r="AF569"/>
  <c r="AA570"/>
  <c r="AB570"/>
  <c r="AC570"/>
  <c r="AD570"/>
  <c r="AE570"/>
  <c r="AF570"/>
  <c r="AA571"/>
  <c r="AB571"/>
  <c r="AC571"/>
  <c r="AD571"/>
  <c r="AE571"/>
  <c r="AF571"/>
  <c r="AA572"/>
  <c r="AB572"/>
  <c r="AC572"/>
  <c r="AD572"/>
  <c r="AE572"/>
  <c r="AF572"/>
  <c r="AA573"/>
  <c r="AB573"/>
  <c r="AC573"/>
  <c r="AD573"/>
  <c r="AE573"/>
  <c r="AF573"/>
  <c r="AA574"/>
  <c r="AB574"/>
  <c r="AC574"/>
  <c r="AD574"/>
  <c r="AE574"/>
  <c r="AF574"/>
  <c r="AA575"/>
  <c r="AB575"/>
  <c r="AC575"/>
  <c r="AD575"/>
  <c r="AE575"/>
  <c r="AF575"/>
  <c r="AA576"/>
  <c r="AB576"/>
  <c r="AC576"/>
  <c r="AD576"/>
  <c r="AE576"/>
  <c r="AF576"/>
  <c r="AA577"/>
  <c r="AB577"/>
  <c r="AC577"/>
  <c r="AD577"/>
  <c r="AE577"/>
  <c r="AF577"/>
  <c r="AA578"/>
  <c r="AB578"/>
  <c r="AC578"/>
  <c r="AD578"/>
  <c r="AE578"/>
  <c r="AF578"/>
  <c r="AA579"/>
  <c r="AB579"/>
  <c r="AC579"/>
  <c r="AD579"/>
  <c r="AE579"/>
  <c r="AF579"/>
  <c r="AA580"/>
  <c r="AB580"/>
  <c r="AC580"/>
  <c r="AD580"/>
  <c r="AE580"/>
  <c r="AF580"/>
  <c r="AA581"/>
  <c r="AB581"/>
  <c r="AC581"/>
  <c r="AD581"/>
  <c r="AE581"/>
  <c r="AF581"/>
  <c r="AA582"/>
  <c r="AB582"/>
  <c r="AC582"/>
  <c r="AD582"/>
  <c r="AE582"/>
  <c r="AF582"/>
  <c r="AA583"/>
  <c r="AB583"/>
  <c r="AC583"/>
  <c r="AD583"/>
  <c r="AE583"/>
  <c r="AF583"/>
  <c r="AA584"/>
  <c r="AB584"/>
  <c r="AC584"/>
  <c r="AD584"/>
  <c r="AE584"/>
  <c r="AF584"/>
  <c r="AA585"/>
  <c r="AB585"/>
  <c r="AC585"/>
  <c r="AD585"/>
  <c r="AE585"/>
  <c r="AF585"/>
  <c r="AA586"/>
  <c r="AB586"/>
  <c r="AC586"/>
  <c r="AD586"/>
  <c r="AE586"/>
  <c r="AF586"/>
  <c r="AA587"/>
  <c r="AB587"/>
  <c r="AC587"/>
  <c r="AD587"/>
  <c r="AE587"/>
  <c r="AF587"/>
  <c r="AA588"/>
  <c r="AB588"/>
  <c r="AC588"/>
  <c r="AD588"/>
  <c r="AE588"/>
  <c r="AF588"/>
  <c r="AA589"/>
  <c r="AB589"/>
  <c r="AC589"/>
  <c r="AD589"/>
  <c r="AE589"/>
  <c r="AF589"/>
  <c r="AA590"/>
  <c r="AB590"/>
  <c r="AC590"/>
  <c r="AD590"/>
  <c r="AE590"/>
  <c r="AF590"/>
  <c r="AA591"/>
  <c r="AB591"/>
  <c r="AC591"/>
  <c r="AD591"/>
  <c r="AE591"/>
  <c r="AF591"/>
  <c r="AA592"/>
  <c r="AB592"/>
  <c r="AC592"/>
  <c r="AD592"/>
  <c r="AE592"/>
  <c r="AF592"/>
  <c r="AA593"/>
  <c r="AB593"/>
  <c r="AC593"/>
  <c r="AD593"/>
  <c r="AE593"/>
  <c r="AF593"/>
  <c r="AA594"/>
  <c r="AB594"/>
  <c r="AC594"/>
  <c r="AD594"/>
  <c r="AE594"/>
  <c r="AF594"/>
  <c r="AA595"/>
  <c r="AB595"/>
  <c r="AC595"/>
  <c r="AD595"/>
  <c r="AE595"/>
  <c r="AF595"/>
  <c r="AA596"/>
  <c r="AB596"/>
  <c r="AC596"/>
  <c r="AD596"/>
  <c r="AE596"/>
  <c r="AF596"/>
  <c r="AA597"/>
  <c r="AB597"/>
  <c r="AC597"/>
  <c r="AD597"/>
  <c r="AE597"/>
  <c r="AF597"/>
  <c r="AA598"/>
  <c r="AB598"/>
  <c r="AC598"/>
  <c r="AD598"/>
  <c r="AE598"/>
  <c r="AF598"/>
  <c r="AA599"/>
  <c r="AB599"/>
  <c r="AC599"/>
  <c r="AD599"/>
  <c r="AE599"/>
  <c r="AF599"/>
  <c r="AA600"/>
  <c r="AB600"/>
  <c r="AC600"/>
  <c r="AD600"/>
  <c r="AE600"/>
  <c r="AF600"/>
  <c r="AA601"/>
  <c r="AB601"/>
  <c r="AC601"/>
  <c r="AD601"/>
  <c r="AE601"/>
  <c r="AF601"/>
  <c r="AA602"/>
  <c r="AB602"/>
  <c r="AC602"/>
  <c r="AD602"/>
  <c r="AE602"/>
  <c r="AF602"/>
  <c r="AA603"/>
  <c r="AB603"/>
  <c r="AC603"/>
  <c r="AD603"/>
  <c r="AE603"/>
  <c r="AF603"/>
  <c r="AA604"/>
  <c r="AB604"/>
  <c r="AC604"/>
  <c r="AD604"/>
  <c r="AE604"/>
  <c r="AF604"/>
  <c r="AA605"/>
  <c r="AB605"/>
  <c r="AC605"/>
  <c r="AD605"/>
  <c r="AE605"/>
  <c r="AF605"/>
  <c r="AA606"/>
  <c r="AB606"/>
  <c r="AC606"/>
  <c r="AD606"/>
  <c r="AE606"/>
  <c r="AF606"/>
  <c r="AA607"/>
  <c r="AB607"/>
  <c r="AC607"/>
  <c r="AD607"/>
  <c r="AE607"/>
  <c r="AF607"/>
  <c r="AA608"/>
  <c r="AB608"/>
  <c r="AC608"/>
  <c r="AD608"/>
  <c r="AE608"/>
  <c r="AF608"/>
  <c r="AA609"/>
  <c r="AB609"/>
  <c r="AC609"/>
  <c r="AD609"/>
  <c r="AE609"/>
  <c r="AF609"/>
  <c r="AA610"/>
  <c r="AB610"/>
  <c r="AC610"/>
  <c r="AD610"/>
  <c r="AE610"/>
  <c r="AF610"/>
  <c r="AA611"/>
  <c r="AB611"/>
  <c r="AC611"/>
  <c r="AD611"/>
  <c r="AE611"/>
  <c r="AF611"/>
  <c r="AA612"/>
  <c r="AB612"/>
  <c r="AC612"/>
  <c r="AD612"/>
  <c r="AE612"/>
  <c r="AF612"/>
  <c r="AA613"/>
  <c r="AB613"/>
  <c r="AC613"/>
  <c r="AD613"/>
  <c r="AE613"/>
  <c r="AF613"/>
  <c r="AA614"/>
  <c r="AB614"/>
  <c r="AC614"/>
  <c r="AD614"/>
  <c r="AE614"/>
  <c r="AF614"/>
  <c r="AA615"/>
  <c r="AB615"/>
  <c r="AC615"/>
  <c r="AD615"/>
  <c r="AE615"/>
  <c r="AF615"/>
  <c r="AA616"/>
  <c r="AB616"/>
  <c r="AC616"/>
  <c r="AD616"/>
  <c r="AE616"/>
  <c r="AF616"/>
  <c r="AA617"/>
  <c r="AB617"/>
  <c r="AC617"/>
  <c r="AD617"/>
  <c r="AE617"/>
  <c r="AF617"/>
  <c r="AA618"/>
  <c r="AB618"/>
  <c r="AC618"/>
  <c r="AD618"/>
  <c r="AE618"/>
  <c r="AF618"/>
  <c r="AA619"/>
  <c r="AB619"/>
  <c r="AC619"/>
  <c r="AD619"/>
  <c r="AE619"/>
  <c r="AF619"/>
  <c r="AA620"/>
  <c r="AB620"/>
  <c r="AC620"/>
  <c r="AD620"/>
  <c r="AE620"/>
  <c r="AF620"/>
  <c r="AA621"/>
  <c r="AB621"/>
  <c r="AC621"/>
  <c r="AD621"/>
  <c r="AE621"/>
  <c r="AF621"/>
  <c r="AA622"/>
  <c r="AB622"/>
  <c r="AC622"/>
  <c r="AD622"/>
  <c r="AE622"/>
  <c r="AF622"/>
  <c r="AA623"/>
  <c r="AB623"/>
  <c r="AC623"/>
  <c r="AD623"/>
  <c r="AE623"/>
  <c r="AF623"/>
  <c r="AA624"/>
  <c r="AB624"/>
  <c r="AC624"/>
  <c r="AD624"/>
  <c r="AE624"/>
  <c r="AF624"/>
  <c r="AA625"/>
  <c r="AB625"/>
  <c r="AC625"/>
  <c r="AD625"/>
  <c r="AE625"/>
  <c r="AF625"/>
  <c r="AA626"/>
  <c r="AB626"/>
  <c r="AC626"/>
  <c r="AD626"/>
  <c r="AE626"/>
  <c r="AF626"/>
  <c r="AA627"/>
  <c r="AB627"/>
  <c r="AC627"/>
  <c r="AD627"/>
  <c r="AE627"/>
  <c r="AF627"/>
  <c r="AA628"/>
  <c r="AB628"/>
  <c r="AC628"/>
  <c r="AD628"/>
  <c r="AE628"/>
  <c r="AF628"/>
  <c r="AA629"/>
  <c r="AB629"/>
  <c r="AC629"/>
  <c r="AD629"/>
  <c r="AE629"/>
  <c r="AF629"/>
  <c r="AA630"/>
  <c r="AB630"/>
  <c r="AC630"/>
  <c r="AD630"/>
  <c r="AE630"/>
  <c r="AF630"/>
  <c r="AA631"/>
  <c r="AB631"/>
  <c r="AC631"/>
  <c r="AD631"/>
  <c r="AE631"/>
  <c r="AF631"/>
  <c r="AA632"/>
  <c r="AB632"/>
  <c r="AC632"/>
  <c r="AD632"/>
  <c r="AE632"/>
  <c r="AF632"/>
  <c r="AA633"/>
  <c r="AB633"/>
  <c r="AC633"/>
  <c r="AD633"/>
  <c r="AE633"/>
  <c r="AF633"/>
  <c r="AA635"/>
  <c r="AB635"/>
  <c r="AC635"/>
  <c r="AD635"/>
  <c r="AE635"/>
  <c r="AF635"/>
  <c r="AA636"/>
  <c r="AB636"/>
  <c r="AC636"/>
  <c r="AD636"/>
  <c r="AE636"/>
  <c r="AF636"/>
  <c r="AA637"/>
  <c r="AB637"/>
  <c r="AC637"/>
  <c r="AD637"/>
  <c r="AE637"/>
  <c r="AF637"/>
  <c r="AA638"/>
  <c r="AB638"/>
  <c r="AC638"/>
  <c r="AD638"/>
  <c r="AE638"/>
  <c r="AF638"/>
  <c r="AA639"/>
  <c r="AB639"/>
  <c r="AC639"/>
  <c r="AD639"/>
  <c r="AE639"/>
  <c r="AF639"/>
  <c r="AA640"/>
  <c r="AB640"/>
  <c r="AC640"/>
  <c r="AD640"/>
  <c r="AE640"/>
  <c r="AF640"/>
  <c r="AA641"/>
  <c r="AB641"/>
  <c r="AC641"/>
  <c r="AD641"/>
  <c r="AE641"/>
  <c r="AF641"/>
  <c r="AA642"/>
  <c r="AB642"/>
  <c r="AC642"/>
  <c r="AD642"/>
  <c r="AE642"/>
  <c r="AF642"/>
  <c r="AA643"/>
  <c r="AB643"/>
  <c r="AC643"/>
  <c r="AD643"/>
  <c r="AE643"/>
  <c r="AF643"/>
  <c r="AA644"/>
  <c r="AB644"/>
  <c r="AC644"/>
  <c r="AD644"/>
  <c r="AE644"/>
  <c r="AF644"/>
  <c r="AA645"/>
  <c r="AB645"/>
  <c r="AC645"/>
  <c r="AD645"/>
  <c r="AE645"/>
  <c r="AF645"/>
  <c r="AA646"/>
  <c r="AB646"/>
  <c r="AC646"/>
  <c r="AD646"/>
  <c r="AE646"/>
  <c r="AF646"/>
  <c r="AA647"/>
  <c r="AB647"/>
  <c r="AC647"/>
  <c r="AD647"/>
  <c r="AE647"/>
  <c r="AF647"/>
  <c r="AA648"/>
  <c r="AB648"/>
  <c r="AC648"/>
  <c r="AD648"/>
  <c r="AE648"/>
  <c r="AF648"/>
  <c r="AA649"/>
  <c r="AB649"/>
  <c r="AC649"/>
  <c r="AD649"/>
  <c r="AE649"/>
  <c r="AF649"/>
  <c r="AA650"/>
  <c r="AB650"/>
  <c r="AC650"/>
  <c r="AD650"/>
  <c r="AE650"/>
  <c r="AF650"/>
  <c r="AA651"/>
  <c r="AB651"/>
  <c r="AC651"/>
  <c r="AD651"/>
  <c r="AE651"/>
  <c r="AF651"/>
  <c r="AA652"/>
  <c r="AB652"/>
  <c r="AC652"/>
  <c r="AD652"/>
  <c r="AE652"/>
  <c r="AF652"/>
  <c r="AA653"/>
  <c r="AB653"/>
  <c r="AC653"/>
  <c r="AD653"/>
  <c r="AE653"/>
  <c r="AF653"/>
  <c r="AA654"/>
  <c r="AB654"/>
  <c r="AC654"/>
  <c r="AD654"/>
  <c r="AE654"/>
  <c r="AF654"/>
  <c r="AA655"/>
  <c r="AB655"/>
  <c r="AC655"/>
  <c r="AD655"/>
  <c r="AE655"/>
  <c r="AF655"/>
  <c r="AA656"/>
  <c r="AB656"/>
  <c r="AC656"/>
  <c r="AD656"/>
  <c r="AE656"/>
  <c r="AF656"/>
  <c r="AA657"/>
  <c r="AB657"/>
  <c r="AC657"/>
  <c r="AD657"/>
  <c r="AE657"/>
  <c r="AF657"/>
  <c r="AA658"/>
  <c r="AB658"/>
  <c r="AC658"/>
  <c r="AD658"/>
  <c r="AE658"/>
  <c r="AF658"/>
  <c r="AA659"/>
  <c r="AB659"/>
  <c r="AC659"/>
  <c r="AD659"/>
  <c r="AE659"/>
  <c r="AF659"/>
  <c r="AA660"/>
  <c r="AB660"/>
  <c r="AC660"/>
  <c r="AD660"/>
  <c r="AE660"/>
  <c r="AF660"/>
  <c r="AA661"/>
  <c r="AB661"/>
  <c r="AC661"/>
  <c r="AD661"/>
  <c r="AE661"/>
  <c r="AF661"/>
  <c r="AA662"/>
  <c r="AB662"/>
  <c r="AC662"/>
  <c r="AD662"/>
  <c r="AE662"/>
  <c r="AF662"/>
  <c r="AA663"/>
  <c r="AB663"/>
  <c r="AC663"/>
  <c r="AD663"/>
  <c r="AE663"/>
  <c r="AF663"/>
  <c r="AA664"/>
  <c r="AB664"/>
  <c r="AC664"/>
  <c r="AD664"/>
  <c r="AE664"/>
  <c r="AF664"/>
  <c r="AA665"/>
  <c r="AB665"/>
  <c r="AC665"/>
  <c r="AD665"/>
  <c r="AE665"/>
  <c r="AF665"/>
  <c r="AA666"/>
  <c r="AB666"/>
  <c r="AC666"/>
  <c r="AD666"/>
  <c r="AE666"/>
  <c r="AF666"/>
  <c r="AA667"/>
  <c r="AB667"/>
  <c r="AC667"/>
  <c r="AD667"/>
  <c r="AE667"/>
  <c r="AF667"/>
  <c r="AA668"/>
  <c r="AB668"/>
  <c r="AC668"/>
  <c r="AD668"/>
  <c r="AE668"/>
  <c r="AF668"/>
  <c r="AA669"/>
  <c r="AB669"/>
  <c r="AC669"/>
  <c r="AD669"/>
  <c r="AE669"/>
  <c r="AF669"/>
  <c r="AA670"/>
  <c r="AB670"/>
  <c r="AC670"/>
  <c r="AD670"/>
  <c r="AE670"/>
  <c r="AF670"/>
  <c r="AA671"/>
  <c r="AB671"/>
  <c r="AC671"/>
  <c r="AD671"/>
  <c r="AE671"/>
  <c r="AF671"/>
  <c r="AA672"/>
  <c r="AB672"/>
  <c r="AC672"/>
  <c r="AD672"/>
  <c r="AE672"/>
  <c r="AF672"/>
  <c r="AA673"/>
  <c r="AB673"/>
  <c r="AC673"/>
  <c r="AD673"/>
  <c r="AE673"/>
  <c r="AF673"/>
  <c r="AA674"/>
  <c r="AB674"/>
  <c r="AC674"/>
  <c r="AD674"/>
  <c r="AE674"/>
  <c r="AF674"/>
  <c r="AA675"/>
  <c r="AB675"/>
  <c r="AC675"/>
  <c r="AD675"/>
  <c r="AE675"/>
  <c r="AF675"/>
  <c r="AA676"/>
  <c r="AB676"/>
  <c r="AC676"/>
  <c r="AD676"/>
  <c r="AE676"/>
  <c r="AF676"/>
  <c r="AA677"/>
  <c r="AB677"/>
  <c r="AC677"/>
  <c r="AD677"/>
  <c r="AE677"/>
  <c r="AF677"/>
  <c r="AA678"/>
  <c r="AB678"/>
  <c r="AC678"/>
  <c r="AD678"/>
  <c r="AE678"/>
  <c r="AF678"/>
  <c r="AA679"/>
  <c r="AB679"/>
  <c r="AC679"/>
  <c r="AD679"/>
  <c r="AE679"/>
  <c r="AF679"/>
  <c r="AA680"/>
  <c r="AB680"/>
  <c r="AC680"/>
  <c r="AD680"/>
  <c r="AE680"/>
  <c r="AF680"/>
  <c r="AA681"/>
  <c r="AB681"/>
  <c r="AC681"/>
  <c r="AD681"/>
  <c r="AE681"/>
  <c r="AF681"/>
  <c r="AA682"/>
  <c r="AB682"/>
  <c r="AC682"/>
  <c r="AD682"/>
  <c r="AE682"/>
  <c r="AF682"/>
  <c r="AA683"/>
  <c r="AB683"/>
  <c r="AC683"/>
  <c r="AD683"/>
  <c r="AE683"/>
  <c r="AF683"/>
  <c r="AA684"/>
  <c r="AB684"/>
  <c r="AC684"/>
  <c r="AD684"/>
  <c r="AE684"/>
  <c r="AF684"/>
  <c r="AA685"/>
  <c r="AB685"/>
  <c r="AC685"/>
  <c r="AD685"/>
  <c r="AE685"/>
  <c r="AF685"/>
  <c r="AA686"/>
  <c r="AB686"/>
  <c r="AC686"/>
  <c r="AD686"/>
  <c r="AE686"/>
  <c r="AF686"/>
  <c r="AA687"/>
  <c r="AB687"/>
  <c r="AC687"/>
  <c r="AD687"/>
  <c r="AE687"/>
  <c r="AF687"/>
  <c r="AA688"/>
  <c r="AB688"/>
  <c r="AC688"/>
  <c r="AD688"/>
  <c r="AE688"/>
  <c r="AF688"/>
  <c r="AA689"/>
  <c r="AB689"/>
  <c r="AC689"/>
  <c r="AD689"/>
  <c r="AE689"/>
  <c r="AF689"/>
  <c r="AA690"/>
  <c r="AB690"/>
  <c r="AC690"/>
  <c r="AD690"/>
  <c r="AE690"/>
  <c r="AF690"/>
  <c r="AA691"/>
  <c r="AB691"/>
  <c r="AC691"/>
  <c r="AD691"/>
  <c r="AE691"/>
  <c r="AF691"/>
  <c r="AA692"/>
  <c r="AB692"/>
  <c r="AC692"/>
  <c r="AD692"/>
  <c r="AE692"/>
  <c r="AF692"/>
  <c r="AA693"/>
  <c r="AB693"/>
  <c r="AC693"/>
  <c r="AD693"/>
  <c r="AE693"/>
  <c r="AF693"/>
  <c r="AA694"/>
  <c r="AB694"/>
  <c r="AC694"/>
  <c r="AD694"/>
  <c r="AE694"/>
  <c r="AF694"/>
  <c r="AA695"/>
  <c r="AB695"/>
  <c r="AC695"/>
  <c r="AD695"/>
  <c r="AE695"/>
  <c r="AF695"/>
  <c r="AA696"/>
  <c r="AB696"/>
  <c r="AC696"/>
  <c r="AD696"/>
  <c r="AE696"/>
  <c r="AF696"/>
  <c r="AA697"/>
  <c r="AB697"/>
  <c r="AC697"/>
  <c r="AD697"/>
  <c r="AE697"/>
  <c r="AF697"/>
  <c r="AA698"/>
  <c r="AB698"/>
  <c r="AC698"/>
  <c r="AD698"/>
  <c r="AE698"/>
  <c r="AF698"/>
  <c r="AA699"/>
  <c r="AB699"/>
  <c r="AC699"/>
  <c r="AD699"/>
  <c r="AE699"/>
  <c r="AF699"/>
  <c r="AA700"/>
  <c r="AB700"/>
  <c r="AC700"/>
  <c r="AD700"/>
  <c r="AE700"/>
  <c r="AF700"/>
  <c r="AA701"/>
  <c r="AB701"/>
  <c r="AC701"/>
  <c r="AD701"/>
  <c r="AE701"/>
  <c r="AF701"/>
  <c r="AA702"/>
  <c r="AB702"/>
  <c r="AC702"/>
  <c r="AD702"/>
  <c r="AE702"/>
  <c r="AF702"/>
  <c r="AA703"/>
  <c r="AB703"/>
  <c r="AC703"/>
  <c r="AD703"/>
  <c r="AE703"/>
  <c r="AF703"/>
  <c r="AA704"/>
  <c r="AB704"/>
  <c r="AC704"/>
  <c r="AD704"/>
  <c r="AE704"/>
  <c r="AF704"/>
  <c r="AA705"/>
  <c r="AB705"/>
  <c r="AC705"/>
  <c r="AD705"/>
  <c r="AE705"/>
  <c r="AF705"/>
  <c r="AA706"/>
  <c r="AB706"/>
  <c r="AC706"/>
  <c r="AD706"/>
  <c r="AE706"/>
  <c r="AF706"/>
  <c r="AA707"/>
  <c r="AB707"/>
  <c r="AC707"/>
  <c r="AD707"/>
  <c r="AE707"/>
  <c r="AF707"/>
  <c r="AA708"/>
  <c r="AB708"/>
  <c r="AC708"/>
  <c r="AD708"/>
  <c r="AE708"/>
  <c r="AF708"/>
  <c r="AA709"/>
  <c r="AB709"/>
  <c r="AC709"/>
  <c r="AD709"/>
  <c r="AE709"/>
  <c r="AF709"/>
  <c r="AA710"/>
  <c r="AB710"/>
  <c r="AC710"/>
  <c r="AD710"/>
  <c r="AE710"/>
  <c r="AF710"/>
  <c r="AA711"/>
  <c r="AB711"/>
  <c r="AC711"/>
  <c r="AD711"/>
  <c r="AE711"/>
  <c r="AF711"/>
  <c r="AA712"/>
  <c r="AB712"/>
  <c r="AC712"/>
  <c r="AD712"/>
  <c r="AE712"/>
  <c r="AF712"/>
  <c r="AA713"/>
  <c r="AB713"/>
  <c r="AC713"/>
  <c r="AD713"/>
  <c r="AE713"/>
  <c r="AF713"/>
  <c r="AA714"/>
  <c r="AB714"/>
  <c r="AC714"/>
  <c r="AD714"/>
  <c r="AE714"/>
  <c r="AF714"/>
  <c r="AA715"/>
  <c r="AB715"/>
  <c r="AC715"/>
  <c r="AD715"/>
  <c r="AE715"/>
  <c r="AF715"/>
  <c r="AA716"/>
  <c r="AB716"/>
  <c r="AC716"/>
  <c r="AD716"/>
  <c r="AE716"/>
  <c r="AF716"/>
  <c r="AA717"/>
  <c r="AB717"/>
  <c r="AC717"/>
  <c r="AD717"/>
  <c r="AE717"/>
  <c r="AF717"/>
  <c r="AA718"/>
  <c r="AB718"/>
  <c r="AC718"/>
  <c r="AD718"/>
  <c r="AE718"/>
  <c r="AF718"/>
  <c r="AA719"/>
  <c r="AB719"/>
  <c r="AC719"/>
  <c r="AD719"/>
  <c r="AE719"/>
  <c r="AF719"/>
  <c r="AA720"/>
  <c r="AB720"/>
  <c r="AC720"/>
  <c r="AD720"/>
  <c r="AE720"/>
  <c r="AF720"/>
  <c r="AA721"/>
  <c r="AB721"/>
  <c r="AC721"/>
  <c r="AD721"/>
  <c r="AE721"/>
  <c r="AF721"/>
  <c r="AA722"/>
  <c r="AB722"/>
  <c r="AC722"/>
  <c r="AD722"/>
  <c r="AE722"/>
  <c r="AF722"/>
  <c r="AA723"/>
  <c r="AB723"/>
  <c r="AC723"/>
  <c r="AD723"/>
  <c r="AE723"/>
  <c r="AF723"/>
  <c r="AA724"/>
  <c r="AB724"/>
  <c r="AC724"/>
  <c r="AD724"/>
  <c r="AE724"/>
  <c r="AF724"/>
  <c r="AA725"/>
  <c r="AB725"/>
  <c r="AC725"/>
  <c r="AD725"/>
  <c r="AE725"/>
  <c r="AF725"/>
  <c r="AA726"/>
  <c r="AB726"/>
  <c r="AC726"/>
  <c r="AD726"/>
  <c r="AE726"/>
  <c r="AF726"/>
  <c r="AA727"/>
  <c r="AB727"/>
  <c r="AC727"/>
  <c r="AD727"/>
  <c r="AE727"/>
  <c r="AF727"/>
  <c r="AA728"/>
  <c r="AB728"/>
  <c r="AC728"/>
  <c r="AD728"/>
  <c r="AE728"/>
  <c r="AF728"/>
  <c r="AA729"/>
  <c r="AB729"/>
  <c r="AC729"/>
  <c r="AD729"/>
  <c r="AE729"/>
  <c r="AF729"/>
  <c r="AA730"/>
  <c r="AB730"/>
  <c r="AC730"/>
  <c r="AD730"/>
  <c r="AE730"/>
  <c r="AF730"/>
  <c r="AA731"/>
  <c r="AB731"/>
  <c r="AC731"/>
  <c r="AD731"/>
  <c r="AE731"/>
  <c r="AF731"/>
  <c r="AA732"/>
  <c r="AB732"/>
  <c r="AC732"/>
  <c r="AD732"/>
  <c r="AE732"/>
  <c r="AF732"/>
  <c r="AA733"/>
  <c r="AB733"/>
  <c r="AC733"/>
  <c r="AD733"/>
  <c r="AE733"/>
  <c r="AF733"/>
  <c r="AA734"/>
  <c r="AB734"/>
  <c r="AC734"/>
  <c r="AD734"/>
  <c r="AE734"/>
  <c r="AF734"/>
  <c r="AA735"/>
  <c r="AB735"/>
  <c r="AC735"/>
  <c r="AD735"/>
  <c r="AE735"/>
  <c r="AF735"/>
  <c r="AA736"/>
  <c r="AB736"/>
  <c r="AC736"/>
  <c r="AD736"/>
  <c r="AE736"/>
  <c r="AF736"/>
  <c r="AA737"/>
  <c r="AB737"/>
  <c r="AC737"/>
  <c r="AD737"/>
  <c r="AE737"/>
  <c r="AF737"/>
  <c r="AA738"/>
  <c r="AB738"/>
  <c r="AC738"/>
  <c r="AD738"/>
  <c r="AE738"/>
  <c r="AF738"/>
  <c r="AA739"/>
  <c r="AB739"/>
  <c r="AC739"/>
  <c r="AD739"/>
  <c r="AE739"/>
  <c r="AF739"/>
  <c r="AA740"/>
  <c r="AB740"/>
  <c r="AC740"/>
  <c r="AD740"/>
  <c r="AE740"/>
  <c r="AF740"/>
  <c r="AA741"/>
  <c r="AB741"/>
  <c r="AC741"/>
  <c r="AD741"/>
  <c r="AE741"/>
  <c r="AF741"/>
  <c r="AA742"/>
  <c r="AB742"/>
  <c r="AC742"/>
  <c r="AD742"/>
  <c r="AE742"/>
  <c r="AF742"/>
  <c r="AA743"/>
  <c r="AB743"/>
  <c r="AC743"/>
  <c r="AD743"/>
  <c r="AE743"/>
  <c r="AF743"/>
  <c r="AA744"/>
  <c r="AB744"/>
  <c r="AC744"/>
  <c r="AD744"/>
  <c r="AE744"/>
  <c r="AF744"/>
  <c r="AA745"/>
  <c r="AB745"/>
  <c r="AC745"/>
  <c r="AD745"/>
  <c r="AE745"/>
  <c r="AF745"/>
  <c r="AA746"/>
  <c r="AB746"/>
  <c r="AC746"/>
  <c r="AD746"/>
  <c r="AE746"/>
  <c r="AF746"/>
  <c r="AA747"/>
  <c r="AB747"/>
  <c r="AC747"/>
  <c r="AD747"/>
  <c r="AE747"/>
  <c r="AF747"/>
  <c r="AA748"/>
  <c r="AB748"/>
  <c r="AC748"/>
  <c r="AD748"/>
  <c r="AE748"/>
  <c r="AF748"/>
  <c r="AA749"/>
  <c r="AB749"/>
  <c r="AC749"/>
  <c r="AD749"/>
  <c r="AE749"/>
  <c r="AF749"/>
  <c r="AA750"/>
  <c r="AB750"/>
  <c r="AC750"/>
  <c r="AD750"/>
  <c r="AE750"/>
  <c r="AF750"/>
  <c r="AA751"/>
  <c r="AB751"/>
  <c r="AC751"/>
  <c r="AD751"/>
  <c r="AE751"/>
  <c r="AF751"/>
  <c r="AA752"/>
  <c r="AB752"/>
  <c r="AC752"/>
  <c r="AD752"/>
  <c r="AE752"/>
  <c r="AF752"/>
  <c r="AA753"/>
  <c r="AB753"/>
  <c r="AC753"/>
  <c r="AD753"/>
  <c r="AE753"/>
  <c r="AF753"/>
  <c r="AA754"/>
  <c r="AB754"/>
  <c r="AC754"/>
  <c r="AD754"/>
  <c r="AE754"/>
  <c r="AF754"/>
  <c r="AA755"/>
  <c r="AB755"/>
  <c r="AC755"/>
  <c r="AD755"/>
  <c r="AE755"/>
  <c r="AF755"/>
  <c r="AA756"/>
  <c r="AB756"/>
  <c r="AC756"/>
  <c r="AD756"/>
  <c r="AE756"/>
  <c r="AF756"/>
  <c r="AA757"/>
  <c r="AB757"/>
  <c r="AC757"/>
  <c r="AD757"/>
  <c r="AE757"/>
  <c r="AF757"/>
  <c r="AA758"/>
  <c r="AB758"/>
  <c r="AC758"/>
  <c r="AD758"/>
  <c r="AE758"/>
  <c r="AF758"/>
  <c r="AA759"/>
  <c r="AB759"/>
  <c r="AC759"/>
  <c r="AD759"/>
  <c r="AE759"/>
  <c r="AF759"/>
  <c r="AA760"/>
  <c r="AB760"/>
  <c r="AC760"/>
  <c r="AD760"/>
  <c r="AE760"/>
  <c r="AF760"/>
  <c r="AA761"/>
  <c r="AB761"/>
  <c r="AC761"/>
  <c r="AD761"/>
  <c r="AE761"/>
  <c r="AF761"/>
  <c r="AA762"/>
  <c r="AB762"/>
  <c r="AC762"/>
  <c r="AD762"/>
  <c r="AE762"/>
  <c r="AF762"/>
  <c r="AA763"/>
  <c r="AB763"/>
  <c r="AC763"/>
  <c r="AD763"/>
  <c r="AE763"/>
  <c r="AF763"/>
  <c r="AA764"/>
  <c r="AB764"/>
  <c r="AC764"/>
  <c r="AD764"/>
  <c r="AE764"/>
  <c r="AF764"/>
  <c r="AA765"/>
  <c r="AB765"/>
  <c r="AC765"/>
  <c r="AD765"/>
  <c r="AE765"/>
  <c r="AF765"/>
  <c r="AA766"/>
  <c r="AB766"/>
  <c r="AC766"/>
  <c r="AD766"/>
  <c r="AE766"/>
  <c r="AF766"/>
  <c r="AA767"/>
  <c r="AB767"/>
  <c r="AC767"/>
  <c r="AD767"/>
  <c r="AE767"/>
  <c r="AF767"/>
  <c r="AA768"/>
  <c r="AB768"/>
  <c r="AC768"/>
  <c r="AD768"/>
  <c r="AE768"/>
  <c r="AF768"/>
  <c r="AA769"/>
  <c r="AB769"/>
  <c r="AC769"/>
  <c r="AD769"/>
  <c r="AE769"/>
  <c r="AF769"/>
  <c r="AA770"/>
  <c r="AB770"/>
  <c r="AC770"/>
  <c r="AD770"/>
  <c r="AE770"/>
  <c r="AF770"/>
  <c r="AA771"/>
  <c r="AB771"/>
  <c r="AC771"/>
  <c r="AD771"/>
  <c r="AE771"/>
  <c r="AF771"/>
  <c r="AA772"/>
  <c r="AB772"/>
  <c r="AC772"/>
  <c r="AD772"/>
  <c r="AE772"/>
  <c r="AF772"/>
  <c r="AA773"/>
  <c r="AB773"/>
  <c r="AC773"/>
  <c r="AD773"/>
  <c r="AE773"/>
  <c r="AF773"/>
  <c r="AA774"/>
  <c r="AB774"/>
  <c r="AC774"/>
  <c r="AD774"/>
  <c r="AE774"/>
  <c r="AF774"/>
  <c r="AA775"/>
  <c r="AB775"/>
  <c r="AC775"/>
  <c r="AD775"/>
  <c r="AE775"/>
  <c r="AF775"/>
  <c r="AA776"/>
  <c r="AB776"/>
  <c r="AC776"/>
  <c r="AD776"/>
  <c r="AE776"/>
  <c r="AF776"/>
  <c r="AA777"/>
  <c r="AB777"/>
  <c r="AC777"/>
  <c r="AD777"/>
  <c r="AE777"/>
  <c r="AF777"/>
  <c r="AA778"/>
  <c r="AB778"/>
  <c r="AC778"/>
  <c r="AD778"/>
  <c r="AE778"/>
  <c r="AF778"/>
  <c r="AA779"/>
  <c r="AB779"/>
  <c r="AC779"/>
  <c r="AD779"/>
  <c r="AE779"/>
  <c r="AF779"/>
  <c r="AA780"/>
  <c r="AB780"/>
  <c r="AC780"/>
  <c r="AD780"/>
  <c r="AE780"/>
  <c r="AF780"/>
  <c r="AA781"/>
  <c r="AB781"/>
  <c r="AC781"/>
  <c r="AD781"/>
  <c r="AE781"/>
  <c r="AF781"/>
  <c r="AA782"/>
  <c r="AB782"/>
  <c r="AC782"/>
  <c r="AD782"/>
  <c r="AE782"/>
  <c r="AF782"/>
  <c r="AA783"/>
  <c r="AB783"/>
  <c r="AC783"/>
  <c r="AD783"/>
  <c r="AE783"/>
  <c r="AF783"/>
  <c r="AA784"/>
  <c r="AB784"/>
  <c r="AC784"/>
  <c r="AD784"/>
  <c r="AE784"/>
  <c r="AF784"/>
  <c r="AA785"/>
  <c r="AB785"/>
  <c r="AC785"/>
  <c r="AD785"/>
  <c r="AE785"/>
  <c r="AF785"/>
  <c r="AA786"/>
  <c r="AB786"/>
  <c r="AC786"/>
  <c r="AD786"/>
  <c r="AE786"/>
  <c r="AF786"/>
  <c r="AA787"/>
  <c r="AB787"/>
  <c r="AC787"/>
  <c r="AD787"/>
  <c r="AE787"/>
  <c r="AF787"/>
  <c r="AA788"/>
  <c r="AB788"/>
  <c r="AC788"/>
  <c r="AD788"/>
  <c r="AE788"/>
  <c r="AF788"/>
  <c r="AA789"/>
  <c r="AB789"/>
  <c r="AC789"/>
  <c r="AD789"/>
  <c r="AE789"/>
  <c r="AF789"/>
  <c r="AA790"/>
  <c r="AB790"/>
  <c r="AC790"/>
  <c r="AD790"/>
  <c r="AE790"/>
  <c r="AF790"/>
  <c r="AA791"/>
  <c r="AB791"/>
  <c r="AC791"/>
  <c r="AD791"/>
  <c r="AE791"/>
  <c r="AF791"/>
  <c r="AA792"/>
  <c r="AB792"/>
  <c r="AC792"/>
  <c r="AD792"/>
  <c r="AE792"/>
  <c r="AF792"/>
  <c r="AA793"/>
  <c r="AB793"/>
  <c r="AC793"/>
  <c r="AD793"/>
  <c r="AE793"/>
  <c r="AF793"/>
  <c r="AA794"/>
  <c r="AB794"/>
  <c r="AC794"/>
  <c r="AD794"/>
  <c r="AE794"/>
  <c r="AF794"/>
  <c r="AA795"/>
  <c r="AB795"/>
  <c r="AC795"/>
  <c r="AD795"/>
  <c r="AE795"/>
  <c r="AF795"/>
  <c r="AA796"/>
  <c r="AB796"/>
  <c r="AC796"/>
  <c r="AD796"/>
  <c r="AE796"/>
  <c r="AF796"/>
  <c r="AA797"/>
  <c r="AB797"/>
  <c r="AC797"/>
  <c r="AD797"/>
  <c r="AE797"/>
  <c r="AF797"/>
  <c r="AA798"/>
  <c r="AB798"/>
  <c r="AC798"/>
  <c r="AD798"/>
  <c r="AE798"/>
  <c r="AF798"/>
  <c r="AA799"/>
  <c r="AB799"/>
  <c r="AC799"/>
  <c r="AD799"/>
  <c r="AE799"/>
  <c r="AF799"/>
  <c r="AA800"/>
  <c r="AB800"/>
  <c r="AC800"/>
  <c r="AD800"/>
  <c r="AE800"/>
  <c r="AF800"/>
  <c r="AA801"/>
  <c r="AB801"/>
  <c r="AC801"/>
  <c r="AD801"/>
  <c r="AE801"/>
  <c r="AF801"/>
  <c r="AA802"/>
  <c r="AB802"/>
  <c r="AC802"/>
  <c r="AD802"/>
  <c r="AE802"/>
  <c r="AF802"/>
  <c r="AA803"/>
  <c r="AB803"/>
  <c r="AC803"/>
  <c r="AD803"/>
  <c r="AE803"/>
  <c r="AF803"/>
  <c r="AA804"/>
  <c r="AB804"/>
  <c r="AC804"/>
  <c r="AD804"/>
  <c r="AE804"/>
  <c r="AF804"/>
  <c r="AA805"/>
  <c r="AB805"/>
  <c r="AC805"/>
  <c r="AD805"/>
  <c r="AE805"/>
  <c r="AF805"/>
  <c r="AA806"/>
  <c r="AB806"/>
  <c r="AC806"/>
  <c r="AD806"/>
  <c r="AE806"/>
  <c r="AF806"/>
  <c r="AA807"/>
  <c r="AB807"/>
  <c r="AC807"/>
  <c r="AD807"/>
  <c r="AE807"/>
  <c r="AF807"/>
  <c r="AA808"/>
  <c r="AB808"/>
  <c r="AC808"/>
  <c r="AD808"/>
  <c r="AE808"/>
  <c r="AF808"/>
  <c r="AA809"/>
  <c r="AB809"/>
  <c r="AC809"/>
  <c r="AD809"/>
  <c r="AE809"/>
  <c r="AF809"/>
  <c r="AA810"/>
  <c r="AB810"/>
  <c r="AC810"/>
  <c r="AD810"/>
  <c r="AE810"/>
  <c r="AF810"/>
  <c r="AA811"/>
  <c r="AB811"/>
  <c r="AC811"/>
  <c r="AD811"/>
  <c r="AE811"/>
  <c r="AF811"/>
  <c r="AA812"/>
  <c r="AB812"/>
  <c r="AC812"/>
  <c r="AD812"/>
  <c r="AE812"/>
  <c r="AF812"/>
  <c r="AA813"/>
  <c r="AB813"/>
  <c r="AC813"/>
  <c r="AD813"/>
  <c r="AE813"/>
  <c r="AF813"/>
  <c r="AA814"/>
  <c r="AB814"/>
  <c r="AC814"/>
  <c r="AD814"/>
  <c r="AE814"/>
  <c r="AF814"/>
  <c r="AA815"/>
  <c r="AB815"/>
  <c r="AC815"/>
  <c r="AD815"/>
  <c r="AE815"/>
  <c r="AF815"/>
  <c r="AA816"/>
  <c r="AB816"/>
  <c r="AC816"/>
  <c r="AD816"/>
  <c r="AE816"/>
  <c r="AF816"/>
  <c r="AA817"/>
  <c r="AB817"/>
  <c r="AC817"/>
  <c r="AD817"/>
  <c r="AE817"/>
  <c r="AF817"/>
  <c r="AA818"/>
  <c r="AB818"/>
  <c r="AC818"/>
  <c r="AD818"/>
  <c r="AE818"/>
  <c r="AF818"/>
  <c r="AA819"/>
  <c r="AB819"/>
  <c r="AC819"/>
  <c r="AD819"/>
  <c r="AE819"/>
  <c r="AF819"/>
  <c r="AA820"/>
  <c r="AB820"/>
  <c r="AC820"/>
  <c r="AD820"/>
  <c r="AE820"/>
  <c r="AF820"/>
  <c r="AA821"/>
  <c r="AB821"/>
  <c r="AC821"/>
  <c r="AD821"/>
  <c r="AE821"/>
  <c r="AF821"/>
  <c r="AA822"/>
  <c r="AB822"/>
  <c r="AC822"/>
  <c r="AD822"/>
  <c r="AE822"/>
  <c r="AF822"/>
  <c r="AA823"/>
  <c r="AB823"/>
  <c r="AC823"/>
  <c r="AD823"/>
  <c r="AE823"/>
  <c r="AF823"/>
  <c r="AA824"/>
  <c r="AB824"/>
  <c r="AC824"/>
  <c r="AD824"/>
  <c r="AE824"/>
  <c r="AF824"/>
  <c r="AA825"/>
  <c r="AB825"/>
  <c r="AC825"/>
  <c r="AD825"/>
  <c r="AE825"/>
  <c r="AF825"/>
  <c r="AA826"/>
  <c r="AB826"/>
  <c r="AC826"/>
  <c r="AD826"/>
  <c r="AE826"/>
  <c r="AF826"/>
  <c r="AA827"/>
  <c r="AB827"/>
  <c r="AC827"/>
  <c r="AD827"/>
  <c r="AE827"/>
  <c r="AF827"/>
  <c r="AA828"/>
  <c r="AB828"/>
  <c r="AC828"/>
  <c r="AD828"/>
  <c r="AE828"/>
  <c r="AF828"/>
  <c r="AA829"/>
  <c r="AB829"/>
  <c r="AC829"/>
  <c r="AD829"/>
  <c r="AE829"/>
  <c r="AF829"/>
  <c r="AA830"/>
  <c r="AB830"/>
  <c r="AC830"/>
  <c r="AD830"/>
  <c r="AE830"/>
  <c r="AF830"/>
  <c r="AA831"/>
  <c r="AB831"/>
  <c r="AC831"/>
  <c r="AD831"/>
  <c r="AE831"/>
  <c r="AF831"/>
  <c r="AA832"/>
  <c r="AB832"/>
  <c r="AC832"/>
  <c r="AD832"/>
  <c r="AE832"/>
  <c r="AF832"/>
  <c r="AA833"/>
  <c r="AB833"/>
  <c r="AC833"/>
  <c r="AD833"/>
  <c r="AE833"/>
  <c r="AF833"/>
  <c r="AA834"/>
  <c r="AB834"/>
  <c r="AC834"/>
  <c r="AD834"/>
  <c r="AE834"/>
  <c r="AF834"/>
  <c r="AA835"/>
  <c r="AB835"/>
  <c r="AC835"/>
  <c r="AD835"/>
  <c r="AE835"/>
  <c r="AF835"/>
  <c r="AA836"/>
  <c r="AB836"/>
  <c r="AC836"/>
  <c r="AD836"/>
  <c r="AE836"/>
  <c r="AF836"/>
  <c r="AA837"/>
  <c r="AB837"/>
  <c r="AC837"/>
  <c r="AD837"/>
  <c r="AE837"/>
  <c r="AF837"/>
  <c r="AA838"/>
  <c r="AB838"/>
  <c r="AC838"/>
  <c r="AD838"/>
  <c r="AE838"/>
  <c r="AF838"/>
  <c r="AA839"/>
  <c r="AB839"/>
  <c r="AC839"/>
  <c r="AD839"/>
  <c r="AE839"/>
  <c r="AF839"/>
  <c r="AA840"/>
  <c r="AB840"/>
  <c r="AC840"/>
  <c r="AD840"/>
  <c r="AE840"/>
  <c r="AF840"/>
  <c r="AA841"/>
  <c r="AB841"/>
  <c r="AC841"/>
  <c r="AD841"/>
  <c r="AE841"/>
  <c r="AF841"/>
  <c r="AA842"/>
  <c r="AB842"/>
  <c r="AC842"/>
  <c r="AD842"/>
  <c r="AE842"/>
  <c r="AF842"/>
  <c r="AA843"/>
  <c r="AB843"/>
  <c r="AC843"/>
  <c r="AD843"/>
  <c r="AE843"/>
  <c r="AF843"/>
  <c r="AA844"/>
  <c r="AB844"/>
  <c r="AC844"/>
  <c r="AD844"/>
  <c r="AE844"/>
  <c r="AF844"/>
  <c r="AA845"/>
  <c r="AB845"/>
  <c r="AC845"/>
  <c r="AD845"/>
  <c r="AE845"/>
  <c r="AF845"/>
  <c r="AA846"/>
  <c r="AB846"/>
  <c r="AC846"/>
  <c r="AD846"/>
  <c r="AE846"/>
  <c r="AF846"/>
  <c r="AA847"/>
  <c r="AB847"/>
  <c r="AC847"/>
  <c r="AD847"/>
  <c r="AE847"/>
  <c r="AF847"/>
  <c r="AA848"/>
  <c r="AB848"/>
  <c r="AC848"/>
  <c r="AD848"/>
  <c r="AE848"/>
  <c r="AF848"/>
  <c r="AA849"/>
  <c r="AB849"/>
  <c r="AC849"/>
  <c r="AD849"/>
  <c r="AE849"/>
  <c r="AF849"/>
  <c r="AA850"/>
  <c r="AB850"/>
  <c r="AC850"/>
  <c r="AD850"/>
  <c r="AE850"/>
  <c r="AF850"/>
  <c r="AA851"/>
  <c r="AB851"/>
  <c r="AC851"/>
  <c r="AD851"/>
  <c r="AE851"/>
  <c r="AF851"/>
  <c r="AA852"/>
  <c r="AB852"/>
  <c r="AC852"/>
  <c r="AD852"/>
  <c r="AE852"/>
  <c r="AF852"/>
  <c r="AA853"/>
  <c r="AB853"/>
  <c r="AC853"/>
  <c r="AD853"/>
  <c r="AE853"/>
  <c r="AF853"/>
  <c r="AA854"/>
  <c r="AB854"/>
  <c r="AC854"/>
  <c r="AD854"/>
  <c r="AE854"/>
  <c r="AF854"/>
  <c r="AA855"/>
  <c r="AB855"/>
  <c r="AC855"/>
  <c r="AD855"/>
  <c r="AE855"/>
  <c r="AF855"/>
  <c r="AA856"/>
  <c r="AB856"/>
  <c r="AC856"/>
  <c r="AD856"/>
  <c r="AE856"/>
  <c r="AF856"/>
  <c r="AA857"/>
  <c r="AB857"/>
  <c r="AC857"/>
  <c r="AD857"/>
  <c r="AE857"/>
  <c r="AF857"/>
  <c r="AA858"/>
  <c r="AB858"/>
  <c r="AC858"/>
  <c r="AD858"/>
  <c r="AE858"/>
  <c r="AF858"/>
  <c r="AA859"/>
  <c r="AB859"/>
  <c r="AC859"/>
  <c r="AD859"/>
  <c r="AE859"/>
  <c r="AF859"/>
  <c r="AA860"/>
  <c r="AB860"/>
  <c r="AC860"/>
  <c r="AD860"/>
  <c r="AE860"/>
  <c r="AF860"/>
  <c r="AA861"/>
  <c r="AB861"/>
  <c r="AC861"/>
  <c r="AD861"/>
  <c r="AE861"/>
  <c r="AF861"/>
  <c r="AA862"/>
  <c r="AB862"/>
  <c r="AC862"/>
  <c r="AD862"/>
  <c r="AE862"/>
  <c r="AF862"/>
  <c r="AA863"/>
  <c r="AB863"/>
  <c r="AC863"/>
  <c r="AD863"/>
  <c r="AE863"/>
  <c r="AF863"/>
  <c r="AA864"/>
  <c r="AB864"/>
  <c r="AC864"/>
  <c r="AD864"/>
  <c r="AE864"/>
  <c r="AF864"/>
  <c r="AA865"/>
  <c r="AB865"/>
  <c r="AC865"/>
  <c r="AD865"/>
  <c r="AE865"/>
  <c r="AF865"/>
  <c r="AA866"/>
  <c r="AB866"/>
  <c r="AC866"/>
  <c r="AD866"/>
  <c r="AE866"/>
  <c r="AF866"/>
  <c r="AA867"/>
  <c r="AB867"/>
  <c r="AC867"/>
  <c r="AD867"/>
  <c r="AE867"/>
  <c r="AF867"/>
  <c r="AA868"/>
  <c r="AB868"/>
  <c r="AC868"/>
  <c r="AD868"/>
  <c r="AE868"/>
  <c r="AF868"/>
  <c r="AA869"/>
  <c r="AB869"/>
  <c r="AC869"/>
  <c r="AD869"/>
  <c r="AE869"/>
  <c r="AF869"/>
  <c r="AA870"/>
  <c r="AB870"/>
  <c r="AC870"/>
  <c r="AD870"/>
  <c r="AE870"/>
  <c r="AF870"/>
  <c r="AA871"/>
  <c r="AB871"/>
  <c r="AC871"/>
  <c r="AD871"/>
  <c r="AE871"/>
  <c r="AF871"/>
  <c r="AA872"/>
  <c r="AB872"/>
  <c r="AC872"/>
  <c r="AD872"/>
  <c r="AE872"/>
  <c r="AF872"/>
  <c r="AA873"/>
  <c r="AB873"/>
  <c r="AC873"/>
  <c r="AD873"/>
  <c r="AE873"/>
  <c r="AF873"/>
  <c r="AA874"/>
  <c r="AB874"/>
  <c r="AC874"/>
  <c r="AD874"/>
  <c r="AE874"/>
  <c r="AF874"/>
  <c r="AA879"/>
  <c r="AB879"/>
  <c r="AC879"/>
  <c r="AD879"/>
  <c r="AE879"/>
  <c r="AF879"/>
  <c r="AA880"/>
  <c r="AB880"/>
  <c r="AC880"/>
  <c r="AD880"/>
  <c r="AE880"/>
  <c r="AF880"/>
  <c r="AA881"/>
  <c r="AB881"/>
  <c r="AC881"/>
  <c r="AD881"/>
  <c r="AE881"/>
  <c r="AF881"/>
  <c r="AA882"/>
  <c r="AB882"/>
  <c r="AC882"/>
  <c r="AD882"/>
  <c r="AE882"/>
  <c r="AF882"/>
  <c r="AA883"/>
  <c r="AB883"/>
  <c r="AC883"/>
  <c r="AD883"/>
  <c r="AE883"/>
  <c r="AF883"/>
  <c r="AA884"/>
  <c r="AB884"/>
  <c r="AC884"/>
  <c r="AD884"/>
  <c r="AE884"/>
  <c r="AF884"/>
  <c r="AA885"/>
  <c r="AB885"/>
  <c r="AC885"/>
  <c r="AD885"/>
  <c r="AE885"/>
  <c r="AF885"/>
  <c r="AA886"/>
  <c r="AB886"/>
  <c r="AC886"/>
  <c r="AD886"/>
  <c r="AE886"/>
  <c r="AF886"/>
  <c r="AA887"/>
  <c r="AB887"/>
  <c r="AC887"/>
  <c r="AD887"/>
  <c r="AE887"/>
  <c r="AF887"/>
  <c r="AA888"/>
  <c r="AB888"/>
  <c r="AC888"/>
  <c r="AD888"/>
  <c r="AE888"/>
  <c r="AF888"/>
  <c r="AA889"/>
  <c r="AB889"/>
  <c r="AC889"/>
  <c r="AD889"/>
  <c r="AE889"/>
  <c r="AF889"/>
  <c r="AA890"/>
  <c r="AB890"/>
  <c r="AC890"/>
  <c r="AD890"/>
  <c r="AE890"/>
  <c r="AF890"/>
  <c r="AA891"/>
  <c r="AB891"/>
  <c r="AC891"/>
  <c r="AD891"/>
  <c r="AE891"/>
  <c r="AF891"/>
  <c r="AA892"/>
  <c r="AB892"/>
  <c r="AC892"/>
  <c r="AD892"/>
  <c r="AE892"/>
  <c r="AF892"/>
  <c r="AA893"/>
  <c r="AB893"/>
  <c r="AC893"/>
  <c r="AD893"/>
  <c r="AE893"/>
  <c r="AF893"/>
  <c r="AA894"/>
  <c r="AB894"/>
  <c r="AC894"/>
  <c r="AD894"/>
  <c r="AE894"/>
  <c r="AF894"/>
  <c r="AA895"/>
  <c r="AB895"/>
  <c r="AC895"/>
  <c r="AD895"/>
  <c r="AE895"/>
  <c r="AF895"/>
  <c r="AA896"/>
  <c r="AB896"/>
  <c r="AC896"/>
  <c r="AD896"/>
  <c r="AE896"/>
  <c r="AF896"/>
  <c r="AA897"/>
  <c r="AB897"/>
  <c r="AC897"/>
  <c r="AD897"/>
  <c r="AE897"/>
  <c r="AF897"/>
  <c r="AA898"/>
  <c r="AB898"/>
  <c r="AC898"/>
  <c r="AD898"/>
  <c r="AE898"/>
  <c r="AF898"/>
  <c r="AA899"/>
  <c r="AB899"/>
  <c r="AC899"/>
  <c r="AD899"/>
  <c r="AE899"/>
  <c r="AF899"/>
  <c r="AA900"/>
  <c r="AB900"/>
  <c r="AC900"/>
  <c r="AD900"/>
  <c r="AE900"/>
  <c r="AF900"/>
  <c r="AA901"/>
  <c r="AB901"/>
  <c r="AC901"/>
  <c r="AD901"/>
  <c r="AE901"/>
  <c r="AF901"/>
  <c r="AA902"/>
  <c r="AB902"/>
  <c r="AC902"/>
  <c r="AD902"/>
  <c r="AE902"/>
  <c r="AF902"/>
  <c r="AA903"/>
  <c r="AB903"/>
  <c r="AC903"/>
  <c r="AD903"/>
  <c r="AE903"/>
  <c r="AF903"/>
  <c r="AA904"/>
  <c r="AB904"/>
  <c r="AC904"/>
  <c r="AD904"/>
  <c r="AE904"/>
  <c r="AF904"/>
  <c r="AA905"/>
  <c r="AB905"/>
  <c r="AC905"/>
  <c r="AD905"/>
  <c r="AE905"/>
  <c r="AF905"/>
  <c r="AA906"/>
  <c r="AB906"/>
  <c r="AC906"/>
  <c r="AD906"/>
  <c r="AE906"/>
  <c r="AF906"/>
  <c r="AA907"/>
  <c r="AB907"/>
  <c r="AC907"/>
  <c r="AD907"/>
  <c r="AE907"/>
  <c r="AF907"/>
  <c r="AA908"/>
  <c r="AB908"/>
  <c r="AC908"/>
  <c r="AD908"/>
  <c r="AE908"/>
  <c r="AF908"/>
  <c r="AA909"/>
  <c r="AB909"/>
  <c r="AC909"/>
  <c r="AD909"/>
  <c r="AE909"/>
  <c r="AF909"/>
  <c r="AA910"/>
  <c r="AB910"/>
  <c r="AC910"/>
  <c r="AD910"/>
  <c r="AE910"/>
  <c r="AF910"/>
  <c r="AA911"/>
  <c r="AB911"/>
  <c r="AC911"/>
  <c r="AD911"/>
  <c r="AE911"/>
  <c r="AF911"/>
  <c r="AA912"/>
  <c r="AB912"/>
  <c r="AC912"/>
  <c r="AD912"/>
  <c r="AE912"/>
  <c r="AF912"/>
  <c r="AA913"/>
  <c r="AB913"/>
  <c r="AC913"/>
  <c r="AD913"/>
  <c r="AE913"/>
  <c r="AF913"/>
  <c r="AA914"/>
  <c r="AB914"/>
  <c r="AC914"/>
  <c r="AD914"/>
  <c r="AE914"/>
  <c r="AF914"/>
  <c r="AA915"/>
  <c r="AB915"/>
  <c r="AC915"/>
  <c r="AD915"/>
  <c r="AE915"/>
  <c r="AF915"/>
  <c r="AA916"/>
  <c r="AB916"/>
  <c r="AC916"/>
  <c r="AD916"/>
  <c r="AE916"/>
  <c r="AF916"/>
  <c r="AA917"/>
  <c r="AB917"/>
  <c r="AC917"/>
  <c r="AD917"/>
  <c r="AE917"/>
  <c r="AF917"/>
  <c r="AA918"/>
  <c r="AB918"/>
  <c r="AC918"/>
  <c r="AD918"/>
  <c r="AE918"/>
  <c r="AF918"/>
  <c r="AA919"/>
  <c r="AB919"/>
  <c r="AC919"/>
  <c r="AD919"/>
  <c r="AE919"/>
  <c r="AF919"/>
  <c r="AA920"/>
  <c r="AB920"/>
  <c r="AC920"/>
  <c r="AD920"/>
  <c r="AE920"/>
  <c r="AF920"/>
  <c r="AA921"/>
  <c r="AB921"/>
  <c r="AC921"/>
  <c r="AD921"/>
  <c r="AE921"/>
  <c r="AF921"/>
  <c r="AA922"/>
  <c r="AB922"/>
  <c r="AC922"/>
  <c r="AD922"/>
  <c r="AE922"/>
  <c r="AF922"/>
  <c r="AA923"/>
  <c r="AB923"/>
  <c r="AC923"/>
  <c r="AD923"/>
  <c r="AE923"/>
  <c r="AF923"/>
  <c r="AA924"/>
  <c r="AB924"/>
  <c r="AC924"/>
  <c r="AD924"/>
  <c r="AE924"/>
  <c r="AF924"/>
  <c r="AA925"/>
  <c r="AB925"/>
  <c r="AC925"/>
  <c r="AD925"/>
  <c r="AE925"/>
  <c r="AF925"/>
  <c r="AA926"/>
  <c r="AB926"/>
  <c r="AC926"/>
  <c r="AD926"/>
  <c r="AE926"/>
  <c r="AF926"/>
  <c r="AA927"/>
  <c r="AB927"/>
  <c r="AC927"/>
  <c r="AD927"/>
  <c r="AE927"/>
  <c r="AF927"/>
  <c r="AA928"/>
  <c r="AB928"/>
  <c r="AC928"/>
  <c r="AD928"/>
  <c r="AE928"/>
  <c r="AF928"/>
  <c r="AA929"/>
  <c r="AB929"/>
  <c r="AC929"/>
  <c r="AD929"/>
  <c r="AE929"/>
  <c r="AF929"/>
  <c r="AA930"/>
  <c r="AB930"/>
  <c r="AC930"/>
  <c r="AD930"/>
  <c r="AE930"/>
  <c r="AF930"/>
  <c r="AA931"/>
  <c r="AB931"/>
  <c r="AC931"/>
  <c r="AD931"/>
  <c r="AE931"/>
  <c r="AF931"/>
  <c r="AA932"/>
  <c r="AB932"/>
  <c r="AC932"/>
  <c r="AD932"/>
  <c r="AE932"/>
  <c r="AF932"/>
  <c r="AA933"/>
  <c r="AB933"/>
  <c r="AC933"/>
  <c r="AD933"/>
  <c r="AE933"/>
  <c r="AF933"/>
  <c r="AA934"/>
  <c r="AB934"/>
  <c r="AC934"/>
  <c r="AD934"/>
  <c r="AE934"/>
  <c r="AF934"/>
  <c r="AA935"/>
  <c r="AB935"/>
  <c r="AC935"/>
  <c r="AD935"/>
  <c r="AE935"/>
  <c r="AF935"/>
  <c r="AA936"/>
  <c r="AB936"/>
  <c r="AC936"/>
  <c r="AD936"/>
  <c r="AE936"/>
  <c r="AF936"/>
  <c r="AA937"/>
  <c r="AB937"/>
  <c r="AC937"/>
  <c r="AD937"/>
  <c r="AE937"/>
  <c r="AF937"/>
  <c r="AA938"/>
  <c r="AB938"/>
  <c r="AC938"/>
  <c r="AD938"/>
  <c r="AE938"/>
  <c r="AF938"/>
  <c r="AA939"/>
  <c r="AB939"/>
  <c r="AC939"/>
  <c r="AD939"/>
  <c r="AE939"/>
  <c r="AF939"/>
  <c r="AA940"/>
  <c r="AB940"/>
  <c r="AC940"/>
  <c r="AD940"/>
  <c r="AE940"/>
  <c r="AF940"/>
  <c r="AA941"/>
  <c r="AB941"/>
  <c r="AC941"/>
  <c r="AD941"/>
  <c r="AE941"/>
  <c r="AF941"/>
  <c r="AA942"/>
  <c r="AB942"/>
  <c r="AC942"/>
  <c r="AD942"/>
  <c r="AE942"/>
  <c r="AF942"/>
  <c r="AA943"/>
  <c r="AB943"/>
  <c r="AC943"/>
  <c r="AD943"/>
  <c r="AE943"/>
  <c r="AF943"/>
  <c r="AA944"/>
  <c r="AB944"/>
  <c r="AC944"/>
  <c r="AD944"/>
  <c r="AE944"/>
  <c r="AF944"/>
  <c r="AA945"/>
  <c r="AB945"/>
  <c r="AC945"/>
  <c r="AD945"/>
  <c r="AE945"/>
  <c r="AF945"/>
  <c r="AA946"/>
  <c r="AB946"/>
  <c r="AC946"/>
  <c r="AD946"/>
  <c r="AE946"/>
  <c r="AF946"/>
  <c r="AA947"/>
  <c r="AB947"/>
  <c r="AC947"/>
  <c r="AD947"/>
  <c r="AE947"/>
  <c r="AF947"/>
  <c r="AA948"/>
  <c r="AB948"/>
  <c r="AC948"/>
  <c r="AD948"/>
  <c r="AE948"/>
  <c r="AF948"/>
  <c r="AA949"/>
  <c r="AB949"/>
  <c r="AC949"/>
  <c r="AD949"/>
  <c r="AE949"/>
  <c r="AF949"/>
  <c r="AA950"/>
  <c r="AB950"/>
  <c r="AC950"/>
  <c r="AD950"/>
  <c r="AE950"/>
  <c r="AF950"/>
  <c r="AA951"/>
  <c r="AB951"/>
  <c r="AC951"/>
  <c r="AD951"/>
  <c r="AE951"/>
  <c r="AF951"/>
  <c r="AA952"/>
  <c r="AB952"/>
  <c r="AC952"/>
  <c r="AD952"/>
  <c r="AE952"/>
  <c r="AF952"/>
  <c r="AA953"/>
  <c r="AB953"/>
  <c r="AC953"/>
  <c r="AD953"/>
  <c r="AE953"/>
  <c r="AF953"/>
  <c r="AA954"/>
  <c r="AB954"/>
  <c r="AC954"/>
  <c r="AD954"/>
  <c r="AE954"/>
  <c r="AF954"/>
  <c r="AA955"/>
  <c r="AB955"/>
  <c r="AC955"/>
  <c r="AD955"/>
  <c r="AE955"/>
  <c r="AF955"/>
  <c r="AA956"/>
  <c r="AB956"/>
  <c r="AC956"/>
  <c r="AD956"/>
  <c r="AE956"/>
  <c r="AF956"/>
  <c r="AA957"/>
  <c r="AB957"/>
  <c r="AC957"/>
  <c r="AD957"/>
  <c r="AE957"/>
  <c r="AF957"/>
  <c r="AA958"/>
  <c r="AB958"/>
  <c r="AC958"/>
  <c r="AD958"/>
  <c r="AE958"/>
  <c r="AF958"/>
  <c r="AA959"/>
  <c r="AB959"/>
  <c r="AC959"/>
  <c r="AD959"/>
  <c r="AE959"/>
  <c r="AF959"/>
  <c r="AA960"/>
  <c r="AB960"/>
  <c r="AC960"/>
  <c r="AD960"/>
  <c r="AE960"/>
  <c r="AF960"/>
  <c r="AA961"/>
  <c r="AB961"/>
  <c r="AC961"/>
  <c r="AD961"/>
  <c r="AE961"/>
  <c r="AF961"/>
  <c r="AA962"/>
  <c r="AB962"/>
  <c r="AC962"/>
  <c r="AD962"/>
  <c r="AE962"/>
  <c r="AF962"/>
  <c r="AA963"/>
  <c r="AB963"/>
  <c r="AC963"/>
  <c r="AD963"/>
  <c r="AE963"/>
  <c r="AF963"/>
  <c r="AA964"/>
  <c r="AB964"/>
  <c r="AC964"/>
  <c r="AD964"/>
  <c r="AE964"/>
  <c r="AF964"/>
  <c r="AA965"/>
  <c r="AB965"/>
  <c r="AC965"/>
  <c r="AD965"/>
  <c r="AE965"/>
  <c r="AF965"/>
  <c r="AA966"/>
  <c r="AB966"/>
  <c r="AC966"/>
  <c r="AD966"/>
  <c r="AE966"/>
  <c r="AF966"/>
  <c r="AA967"/>
  <c r="AB967"/>
  <c r="AC967"/>
  <c r="AD967"/>
  <c r="AE967"/>
  <c r="AF967"/>
  <c r="AA968"/>
  <c r="AB968"/>
  <c r="AC968"/>
  <c r="AD968"/>
  <c r="AE968"/>
  <c r="AF968"/>
  <c r="AA969"/>
  <c r="AB969"/>
  <c r="AC969"/>
  <c r="AD969"/>
  <c r="AE969"/>
  <c r="AF969"/>
  <c r="AA970"/>
  <c r="AB970"/>
  <c r="AC970"/>
  <c r="AD970"/>
  <c r="AE970"/>
  <c r="AF970"/>
  <c r="AA971"/>
  <c r="AB971"/>
  <c r="AC971"/>
  <c r="AD971"/>
  <c r="AE971"/>
  <c r="AF971"/>
  <c r="AA972"/>
  <c r="AB972"/>
  <c r="AC972"/>
  <c r="AD972"/>
  <c r="AE972"/>
  <c r="AF972"/>
  <c r="AA973"/>
  <c r="AB973"/>
  <c r="AC973"/>
  <c r="AD973"/>
  <c r="AE973"/>
  <c r="AF973"/>
  <c r="AA974"/>
  <c r="AB974"/>
  <c r="AC974"/>
  <c r="AD974"/>
  <c r="AE974"/>
  <c r="AF974"/>
  <c r="AA975"/>
  <c r="AB975"/>
  <c r="AC975"/>
  <c r="AD975"/>
  <c r="AE975"/>
  <c r="AF975"/>
  <c r="AA976"/>
  <c r="AB976"/>
  <c r="AC976"/>
  <c r="AD976"/>
  <c r="AE976"/>
  <c r="AF976"/>
  <c r="AA977"/>
  <c r="AB977"/>
  <c r="AC977"/>
  <c r="AD977"/>
  <c r="AE977"/>
  <c r="AF977"/>
  <c r="AA978"/>
  <c r="AB978"/>
  <c r="AC978"/>
  <c r="AD978"/>
  <c r="AE978"/>
  <c r="AF978"/>
  <c r="AA979"/>
  <c r="AB979"/>
  <c r="AC979"/>
  <c r="AD979"/>
  <c r="AE979"/>
  <c r="AF979"/>
  <c r="AA980"/>
  <c r="AB980"/>
  <c r="AC980"/>
  <c r="AD980"/>
  <c r="AE980"/>
  <c r="AF980"/>
  <c r="AA981"/>
  <c r="AB981"/>
  <c r="AC981"/>
  <c r="AD981"/>
  <c r="AE981"/>
  <c r="AF981"/>
  <c r="AA982"/>
  <c r="AB982"/>
  <c r="AC982"/>
  <c r="AD982"/>
  <c r="AE982"/>
  <c r="AF982"/>
  <c r="AA983"/>
  <c r="AB983"/>
  <c r="AC983"/>
  <c r="AD983"/>
  <c r="AE983"/>
  <c r="AF983"/>
  <c r="AA984"/>
  <c r="AE984"/>
  <c r="AF984"/>
  <c r="AA985"/>
  <c r="AE985"/>
  <c r="AF985"/>
  <c r="AA986"/>
  <c r="AB986"/>
  <c r="AC986"/>
  <c r="AD986"/>
  <c r="AE986"/>
  <c r="AF986"/>
  <c r="AA987"/>
  <c r="AB987"/>
  <c r="AC987"/>
  <c r="AD987"/>
  <c r="AE987"/>
  <c r="AF987"/>
  <c r="AA988"/>
  <c r="AB988"/>
  <c r="AC988"/>
  <c r="AD988"/>
  <c r="AE988"/>
  <c r="AF988"/>
  <c r="AA989"/>
  <c r="AB989"/>
  <c r="AC989"/>
  <c r="AD989"/>
  <c r="AE989"/>
  <c r="AF989"/>
  <c r="AA990"/>
  <c r="AB990"/>
  <c r="AC990"/>
  <c r="AD990"/>
  <c r="AE990"/>
  <c r="AF990"/>
  <c r="AA991"/>
  <c r="AB991"/>
  <c r="AC991"/>
  <c r="AD991"/>
  <c r="AE991"/>
  <c r="AF991"/>
  <c r="AA992"/>
  <c r="AB992"/>
  <c r="AC992"/>
  <c r="AD992"/>
  <c r="AE992"/>
  <c r="AF992"/>
  <c r="AA993"/>
  <c r="AB993"/>
  <c r="AC993"/>
  <c r="AD993"/>
  <c r="AE993"/>
  <c r="AF993"/>
  <c r="AA994"/>
  <c r="AB994"/>
  <c r="AC994"/>
  <c r="AD994"/>
  <c r="AE994"/>
  <c r="AF994"/>
  <c r="AA995"/>
  <c r="AB995"/>
  <c r="AC995"/>
  <c r="AD995"/>
  <c r="AE995"/>
  <c r="AF995"/>
  <c r="AA996"/>
  <c r="AB996"/>
  <c r="AC996"/>
  <c r="AD996"/>
  <c r="AE996"/>
  <c r="AF996"/>
  <c r="AA997"/>
  <c r="AB997"/>
  <c r="AC997"/>
  <c r="AD997"/>
  <c r="AE997"/>
  <c r="AF997"/>
  <c r="AA998"/>
  <c r="AB998"/>
  <c r="AC998"/>
  <c r="AD998"/>
  <c r="AE998"/>
  <c r="AF998"/>
  <c r="AA999"/>
  <c r="AB999"/>
  <c r="AC999"/>
  <c r="AD999"/>
  <c r="AE999"/>
  <c r="AF999"/>
  <c r="AA1000"/>
  <c r="AB1000"/>
  <c r="AC1000"/>
  <c r="AD1000"/>
  <c r="AE1000"/>
  <c r="AF1000"/>
  <c r="AA1001"/>
  <c r="AB1001"/>
  <c r="AC1001"/>
  <c r="AD1001"/>
  <c r="AE1001"/>
  <c r="AF1001"/>
  <c r="AA1002"/>
  <c r="AB1002"/>
  <c r="AC1002"/>
  <c r="AD1002"/>
  <c r="AE1002"/>
  <c r="AF1002"/>
  <c r="AA1003"/>
  <c r="AB1003"/>
  <c r="AC1003"/>
  <c r="AD1003"/>
  <c r="AE1003"/>
  <c r="AF1003"/>
  <c r="AA1004"/>
  <c r="AB1004"/>
  <c r="AC1004"/>
  <c r="AD1004"/>
  <c r="AE1004"/>
  <c r="AF1004"/>
  <c r="AA1005"/>
  <c r="AB1005"/>
  <c r="AC1005"/>
  <c r="AD1005"/>
  <c r="AE1005"/>
  <c r="AF1005"/>
  <c r="AA1006"/>
  <c r="AB1006"/>
  <c r="AC1006"/>
  <c r="AD1006"/>
  <c r="AE1006"/>
  <c r="AF1006"/>
  <c r="AA1007"/>
  <c r="AB1007"/>
  <c r="AC1007"/>
  <c r="AD1007"/>
  <c r="AE1007"/>
  <c r="AF1007"/>
  <c r="AA1008"/>
  <c r="AB1008"/>
  <c r="AC1008"/>
  <c r="AD1008"/>
  <c r="AE1008"/>
  <c r="AF1008"/>
  <c r="AA1009"/>
  <c r="AB1009"/>
  <c r="AC1009"/>
  <c r="AD1009"/>
  <c r="AE1009"/>
  <c r="AF1009"/>
  <c r="AA1010"/>
  <c r="AB1010"/>
  <c r="AC1010"/>
  <c r="AD1010"/>
  <c r="AE1010"/>
  <c r="AF1010"/>
  <c r="AA1011"/>
  <c r="AB1011"/>
  <c r="AC1011"/>
  <c r="AD1011"/>
  <c r="AE1011"/>
  <c r="AF1011"/>
  <c r="AA1012"/>
  <c r="AB1012"/>
  <c r="AC1012"/>
  <c r="AD1012"/>
  <c r="AE1012"/>
  <c r="AF1012"/>
  <c r="AA1013"/>
  <c r="AB1013"/>
  <c r="AC1013"/>
  <c r="AD1013"/>
  <c r="AE1013"/>
  <c r="AF1013"/>
  <c r="AA1014"/>
  <c r="AB1014"/>
  <c r="AC1014"/>
  <c r="AD1014"/>
  <c r="AE1014"/>
  <c r="AF1014"/>
  <c r="AA1015"/>
  <c r="AB1015"/>
  <c r="AC1015"/>
  <c r="AD1015"/>
  <c r="AE1015"/>
  <c r="AF1015"/>
  <c r="AA1016"/>
  <c r="AB1016"/>
  <c r="AC1016"/>
  <c r="AD1016"/>
  <c r="AE1016"/>
  <c r="AF1016"/>
  <c r="AA1017"/>
  <c r="AB1017"/>
  <c r="AC1017"/>
  <c r="AD1017"/>
  <c r="AE1017"/>
  <c r="AF1017"/>
  <c r="AA1018"/>
  <c r="AB1018"/>
  <c r="AC1018"/>
  <c r="AD1018"/>
  <c r="AE1018"/>
  <c r="AF1018"/>
  <c r="AA1019"/>
  <c r="AB1019"/>
  <c r="AC1019"/>
  <c r="AD1019"/>
  <c r="AE1019"/>
  <c r="AF1019"/>
  <c r="AA1020"/>
  <c r="AB1020"/>
  <c r="AC1020"/>
  <c r="AD1020"/>
  <c r="AE1020"/>
  <c r="AF1020"/>
  <c r="AA1021"/>
  <c r="AB1021"/>
  <c r="AC1021"/>
  <c r="AD1021"/>
  <c r="AE1021"/>
  <c r="AF1021"/>
  <c r="AA1022"/>
  <c r="AB1022"/>
  <c r="AC1022"/>
  <c r="AD1022"/>
  <c r="AE1022"/>
  <c r="AF1022"/>
  <c r="AA1023"/>
  <c r="AB1023"/>
  <c r="AC1023"/>
  <c r="AD1023"/>
  <c r="AE1023"/>
  <c r="AF1023"/>
  <c r="AA1024"/>
  <c r="AB1024"/>
  <c r="AC1024"/>
  <c r="AD1024"/>
  <c r="AE1024"/>
  <c r="AF1024"/>
  <c r="AA1025"/>
  <c r="AB1025"/>
  <c r="AC1025"/>
  <c r="AD1025"/>
  <c r="AE1025"/>
  <c r="AF1025"/>
  <c r="AA1026"/>
  <c r="AB1026"/>
  <c r="AC1026"/>
  <c r="AD1026"/>
  <c r="AE1026"/>
  <c r="AF1026"/>
  <c r="AA1027"/>
  <c r="AB1027"/>
  <c r="AC1027"/>
  <c r="AD1027"/>
  <c r="AE1027"/>
  <c r="AF1027"/>
  <c r="AA1028"/>
  <c r="AB1028"/>
  <c r="AC1028"/>
  <c r="AD1028"/>
  <c r="AE1028"/>
  <c r="AF1028"/>
  <c r="AA1029"/>
  <c r="AB1029"/>
  <c r="AC1029"/>
  <c r="AD1029"/>
  <c r="AE1029"/>
  <c r="AF1029"/>
  <c r="AA1030"/>
  <c r="AB1030"/>
  <c r="AC1030"/>
  <c r="AD1030"/>
  <c r="AE1030"/>
  <c r="AF1030"/>
  <c r="AA1031"/>
  <c r="AB1031"/>
  <c r="AC1031"/>
  <c r="AD1031"/>
  <c r="AE1031"/>
  <c r="AF1031"/>
  <c r="AA1032"/>
  <c r="AB1032"/>
  <c r="AC1032"/>
  <c r="AD1032"/>
  <c r="AE1032"/>
  <c r="AF1032"/>
  <c r="AA1033"/>
  <c r="AB1033"/>
  <c r="AC1033"/>
  <c r="AD1033"/>
  <c r="AE1033"/>
  <c r="AF1033"/>
  <c r="AA1034"/>
  <c r="AB1034"/>
  <c r="AC1034"/>
  <c r="AD1034"/>
  <c r="AE1034"/>
  <c r="AF1034"/>
  <c r="AA1035"/>
  <c r="AB1035"/>
  <c r="AC1035"/>
  <c r="AD1035"/>
  <c r="AE1035"/>
  <c r="AF1035"/>
  <c r="AA1036"/>
  <c r="AB1036"/>
  <c r="AC1036"/>
  <c r="AD1036"/>
  <c r="AE1036"/>
  <c r="AF1036"/>
  <c r="AA1037"/>
  <c r="AB1037"/>
  <c r="AC1037"/>
  <c r="AD1037"/>
  <c r="AE1037"/>
  <c r="AF1037"/>
  <c r="AA1038"/>
  <c r="AB1038"/>
  <c r="AC1038"/>
  <c r="AD1038"/>
  <c r="AE1038"/>
  <c r="AF1038"/>
  <c r="AA1039"/>
  <c r="AB1039"/>
  <c r="AC1039"/>
  <c r="AD1039"/>
  <c r="AE1039"/>
  <c r="AF1039"/>
  <c r="AA1040"/>
  <c r="AB1040"/>
  <c r="AC1040"/>
  <c r="AD1040"/>
  <c r="AE1040"/>
  <c r="AF1040"/>
  <c r="AA1041"/>
  <c r="AB1041"/>
  <c r="AC1041"/>
  <c r="AD1041"/>
  <c r="AE1041"/>
  <c r="AF1041"/>
  <c r="AA1042"/>
  <c r="AB1042"/>
  <c r="AC1042"/>
  <c r="AD1042"/>
  <c r="AE1042"/>
  <c r="AF1042"/>
  <c r="AA1043"/>
  <c r="AB1043"/>
  <c r="AC1043"/>
  <c r="AD1043"/>
  <c r="AE1043"/>
  <c r="AF1043"/>
  <c r="AA1044"/>
  <c r="AB1044"/>
  <c r="AC1044"/>
  <c r="AD1044"/>
  <c r="AE1044"/>
  <c r="AF1044"/>
  <c r="AA1045"/>
  <c r="AB1045"/>
  <c r="AC1045"/>
  <c r="AD1045"/>
  <c r="AE1045"/>
  <c r="AF1045"/>
  <c r="AA1046"/>
  <c r="AB1046"/>
  <c r="AC1046"/>
  <c r="AD1046"/>
  <c r="AE1046"/>
  <c r="AF1046"/>
  <c r="AA1047"/>
  <c r="AB1047"/>
  <c r="AC1047"/>
  <c r="AD1047"/>
  <c r="AE1047"/>
  <c r="AF1047"/>
  <c r="AA1048"/>
  <c r="AB1048"/>
  <c r="AC1048"/>
  <c r="AD1048"/>
  <c r="AE1048"/>
  <c r="AF1048"/>
  <c r="AA1049"/>
  <c r="AB1049"/>
  <c r="AC1049"/>
  <c r="AD1049"/>
  <c r="AE1049"/>
  <c r="AF1049"/>
  <c r="AA1050"/>
  <c r="AB1050"/>
  <c r="AC1050"/>
  <c r="AD1050"/>
  <c r="AE1050"/>
  <c r="AF1050"/>
  <c r="AA1051"/>
  <c r="AB1051"/>
  <c r="AC1051"/>
  <c r="AD1051"/>
  <c r="AE1051"/>
  <c r="AF1051"/>
  <c r="AA1052"/>
  <c r="AB1052"/>
  <c r="AC1052"/>
  <c r="AD1052"/>
  <c r="AE1052"/>
  <c r="AF1052"/>
  <c r="AA1053"/>
  <c r="AB1053"/>
  <c r="AC1053"/>
  <c r="AD1053"/>
  <c r="AE1053"/>
  <c r="AF1053"/>
  <c r="AA1054"/>
  <c r="AB1054"/>
  <c r="AC1054"/>
  <c r="AD1054"/>
  <c r="AE1054"/>
  <c r="AF1054"/>
  <c r="AA1055"/>
  <c r="AB1055"/>
  <c r="AC1055"/>
  <c r="AD1055"/>
  <c r="AE1055"/>
  <c r="AF1055"/>
  <c r="AA1056"/>
  <c r="AB1056"/>
  <c r="AC1056"/>
  <c r="AD1056"/>
  <c r="AE1056"/>
  <c r="AF1056"/>
  <c r="AA1057"/>
  <c r="AB1057"/>
  <c r="AC1057"/>
  <c r="AD1057"/>
  <c r="AE1057"/>
  <c r="AF1057"/>
  <c r="AA1058"/>
  <c r="AB1058"/>
  <c r="AC1058"/>
  <c r="AD1058"/>
  <c r="AE1058"/>
  <c r="AF1058"/>
  <c r="AA1059"/>
  <c r="AB1059"/>
  <c r="AC1059"/>
  <c r="AD1059"/>
  <c r="AE1059"/>
  <c r="AF1059"/>
  <c r="AA1060"/>
  <c r="AB1060"/>
  <c r="AC1060"/>
  <c r="AD1060"/>
  <c r="AE1060"/>
  <c r="AF1060"/>
  <c r="AA1061"/>
  <c r="AB1061"/>
  <c r="AC1061"/>
  <c r="AD1061"/>
  <c r="AE1061"/>
  <c r="AF1061"/>
  <c r="AA1062"/>
  <c r="AB1062"/>
  <c r="AC1062"/>
  <c r="AD1062"/>
  <c r="AE1062"/>
  <c r="AF1062"/>
  <c r="AA1063"/>
  <c r="AB1063"/>
  <c r="AC1063"/>
  <c r="AD1063"/>
  <c r="AE1063"/>
  <c r="AF1063"/>
  <c r="AA1064"/>
  <c r="AB1064"/>
  <c r="AC1064"/>
  <c r="AD1064"/>
  <c r="AE1064"/>
  <c r="AF1064"/>
  <c r="AA1065"/>
  <c r="AB1065"/>
  <c r="AC1065"/>
  <c r="AD1065"/>
  <c r="AE1065"/>
  <c r="AF1065"/>
  <c r="AA1066"/>
  <c r="AB1066"/>
  <c r="AC1066"/>
  <c r="AD1066"/>
  <c r="AE1066"/>
  <c r="AF1066"/>
  <c r="AA1067"/>
  <c r="AB1067"/>
  <c r="AC1067"/>
  <c r="AD1067"/>
  <c r="AE1067"/>
  <c r="AF1067"/>
  <c r="AA1068"/>
  <c r="AB1068"/>
  <c r="AC1068"/>
  <c r="AD1068"/>
  <c r="AE1068"/>
  <c r="AF1068"/>
  <c r="AA1069"/>
  <c r="AB1069"/>
  <c r="AC1069"/>
  <c r="AD1069"/>
  <c r="AE1069"/>
  <c r="AF1069"/>
  <c r="AA1070"/>
  <c r="AB1070"/>
  <c r="AC1070"/>
  <c r="AD1070"/>
  <c r="AE1070"/>
  <c r="AF1070"/>
  <c r="AA1071"/>
  <c r="AB1071"/>
  <c r="AC1071"/>
  <c r="AD1071"/>
  <c r="AE1071"/>
  <c r="AF1071"/>
  <c r="AA1072"/>
  <c r="AB1072"/>
  <c r="AC1072"/>
  <c r="AD1072"/>
  <c r="AE1072"/>
  <c r="AF1072"/>
  <c r="AA1073"/>
  <c r="AB1073"/>
  <c r="AC1073"/>
  <c r="AD1073"/>
  <c r="AE1073"/>
  <c r="AF1073"/>
  <c r="AA1074"/>
  <c r="AB1074"/>
  <c r="AC1074"/>
  <c r="AD1074"/>
  <c r="AE1074"/>
  <c r="AF1074"/>
  <c r="AA1075"/>
  <c r="AB1075"/>
  <c r="AC1075"/>
  <c r="AD1075"/>
  <c r="AE1075"/>
  <c r="AF1075"/>
  <c r="AA1076"/>
  <c r="AB1076"/>
  <c r="AC1076"/>
  <c r="AD1076"/>
  <c r="AE1076"/>
  <c r="AF1076"/>
  <c r="AA1077"/>
  <c r="AB1077"/>
  <c r="AC1077"/>
  <c r="AD1077"/>
  <c r="AE1077"/>
  <c r="AF1077"/>
  <c r="AA1078"/>
  <c r="AB1078"/>
  <c r="AC1078"/>
  <c r="AD1078"/>
  <c r="AE1078"/>
  <c r="AF1078"/>
  <c r="AA1079"/>
  <c r="AB1079"/>
  <c r="AC1079"/>
  <c r="AD1079"/>
  <c r="AE1079"/>
  <c r="AF1079"/>
  <c r="AA1080"/>
  <c r="AB1080"/>
  <c r="AC1080"/>
  <c r="AD1080"/>
  <c r="AE1080"/>
  <c r="AF1080"/>
  <c r="AA1081"/>
  <c r="AB1081"/>
  <c r="AC1081"/>
  <c r="AD1081"/>
  <c r="AE1081"/>
  <c r="AF1081"/>
  <c r="AA1082"/>
  <c r="AB1082"/>
  <c r="AC1082"/>
  <c r="AD1082"/>
  <c r="AE1082"/>
  <c r="AF1082"/>
  <c r="AA1083"/>
  <c r="AB1083"/>
  <c r="AC1083"/>
  <c r="AD1083"/>
  <c r="AE1083"/>
  <c r="AF1083"/>
  <c r="AA1084"/>
  <c r="AB1084"/>
  <c r="AC1084"/>
  <c r="AD1084"/>
  <c r="AE1084"/>
  <c r="AF1084"/>
  <c r="AA1085"/>
  <c r="AB1085"/>
  <c r="AC1085"/>
  <c r="AD1085"/>
  <c r="AE1085"/>
  <c r="AF1085"/>
  <c r="AA1086"/>
  <c r="AB1086"/>
  <c r="AC1086"/>
  <c r="AD1086"/>
  <c r="AE1086"/>
  <c r="AF1086"/>
  <c r="AA1087"/>
  <c r="AB1087"/>
  <c r="AC1087"/>
  <c r="AD1087"/>
  <c r="AE1087"/>
  <c r="AF1087"/>
  <c r="AA1088"/>
  <c r="AB1088"/>
  <c r="AC1088"/>
  <c r="AD1088"/>
  <c r="AE1088"/>
  <c r="AF1088"/>
  <c r="AA1089"/>
  <c r="AB1089"/>
  <c r="AC1089"/>
  <c r="AD1089"/>
  <c r="AE1089"/>
  <c r="AF1089"/>
  <c r="AA1090"/>
  <c r="AB1090"/>
  <c r="AC1090"/>
  <c r="AD1090"/>
  <c r="AE1090"/>
  <c r="AF1090"/>
  <c r="AA1091"/>
  <c r="AB1091"/>
  <c r="AC1091"/>
  <c r="AD1091"/>
  <c r="AE1091"/>
  <c r="AF1091"/>
  <c r="AA1092"/>
  <c r="AB1092"/>
  <c r="AC1092"/>
  <c r="AD1092"/>
  <c r="AE1092"/>
  <c r="AF1092"/>
  <c r="AA1093"/>
  <c r="AB1093"/>
  <c r="AC1093"/>
  <c r="AD1093"/>
  <c r="AE1093"/>
  <c r="AF1093"/>
  <c r="AA1094"/>
  <c r="AB1094"/>
  <c r="AC1094"/>
  <c r="AD1094"/>
  <c r="AE1094"/>
  <c r="AF1094"/>
  <c r="AA1095"/>
  <c r="AB1095"/>
  <c r="AC1095"/>
  <c r="AD1095"/>
  <c r="AE1095"/>
  <c r="AF1095"/>
  <c r="AA1096"/>
  <c r="AB1096"/>
  <c r="AC1096"/>
  <c r="AD1096"/>
  <c r="AE1096"/>
  <c r="AF1096"/>
  <c r="AA1097"/>
  <c r="AB1097"/>
  <c r="AC1097"/>
  <c r="AD1097"/>
  <c r="AE1097"/>
  <c r="AF1097"/>
  <c r="AA1098"/>
  <c r="AB1098"/>
  <c r="AC1098"/>
  <c r="AD1098"/>
  <c r="AE1098"/>
  <c r="AF1098"/>
  <c r="AA1099"/>
  <c r="AB1099"/>
  <c r="AC1099"/>
  <c r="AD1099"/>
  <c r="AE1099"/>
  <c r="AF1099"/>
  <c r="AA1100"/>
  <c r="AB1100"/>
  <c r="AC1100"/>
  <c r="AD1100"/>
  <c r="AE1100"/>
  <c r="AF1100"/>
  <c r="AA1101"/>
  <c r="AB1101"/>
  <c r="AC1101"/>
  <c r="AD1101"/>
  <c r="AE1101"/>
  <c r="AF1101"/>
  <c r="AA1102"/>
  <c r="AB1102"/>
  <c r="AC1102"/>
  <c r="AD1102"/>
  <c r="AE1102"/>
  <c r="AF1102"/>
  <c r="AA1103"/>
  <c r="AB1103"/>
  <c r="AC1103"/>
  <c r="AD1103"/>
  <c r="AE1103"/>
  <c r="AF1103"/>
  <c r="AA1104"/>
  <c r="AB1104"/>
  <c r="AC1104"/>
  <c r="AD1104"/>
  <c r="AE1104"/>
  <c r="AF1104"/>
  <c r="AA1105"/>
  <c r="AB1105"/>
  <c r="AC1105"/>
  <c r="AD1105"/>
  <c r="AE1105"/>
  <c r="AF1105"/>
  <c r="AA1106"/>
  <c r="AB1106"/>
  <c r="AC1106"/>
  <c r="AD1106"/>
  <c r="AE1106"/>
  <c r="AF1106"/>
  <c r="AA1107"/>
  <c r="AB1107"/>
  <c r="AC1107"/>
  <c r="AD1107"/>
  <c r="AE1107"/>
  <c r="AF1107"/>
  <c r="AA1108"/>
  <c r="AB1108"/>
  <c r="AC1108"/>
  <c r="AD1108"/>
  <c r="AE1108"/>
  <c r="AF1108"/>
  <c r="AA1109"/>
  <c r="AB1109"/>
  <c r="AC1109"/>
  <c r="AD1109"/>
  <c r="AE1109"/>
  <c r="AF1109"/>
  <c r="AA1110"/>
  <c r="AB1110"/>
  <c r="AC1110"/>
  <c r="AD1110"/>
  <c r="AE1110"/>
  <c r="AF1110"/>
  <c r="AA1111"/>
  <c r="AB1111"/>
  <c r="AC1111"/>
  <c r="AD1111"/>
  <c r="AE1111"/>
  <c r="AF1111"/>
  <c r="AA1112"/>
  <c r="AB1112"/>
  <c r="AC1112"/>
  <c r="AD1112"/>
  <c r="AE1112"/>
  <c r="AF1112"/>
  <c r="AA1113"/>
  <c r="AB1113"/>
  <c r="AC1113"/>
  <c r="AD1113"/>
  <c r="AE1113"/>
  <c r="AF1113"/>
  <c r="AA1114"/>
  <c r="AB1114"/>
  <c r="AC1114"/>
  <c r="AD1114"/>
  <c r="AE1114"/>
  <c r="AF1114"/>
  <c r="AA1115"/>
  <c r="AB1115"/>
  <c r="AC1115"/>
  <c r="AD1115"/>
  <c r="AE1115"/>
  <c r="AF1115"/>
  <c r="AA1120"/>
  <c r="AB1120"/>
  <c r="AC1120"/>
  <c r="AD1120"/>
  <c r="AE1120"/>
  <c r="AF1120"/>
  <c r="AA1121"/>
  <c r="AB1121"/>
  <c r="AC1121"/>
  <c r="AD1121"/>
  <c r="AE1121"/>
  <c r="AF1121"/>
  <c r="AA1122"/>
  <c r="AB1122"/>
  <c r="AC1122"/>
  <c r="AD1122"/>
  <c r="AE1122"/>
  <c r="AF1122"/>
  <c r="AA1123"/>
  <c r="AB1123"/>
  <c r="AC1123"/>
  <c r="AD1123"/>
  <c r="AE1123"/>
  <c r="AF1123"/>
  <c r="AA1124"/>
  <c r="AB1124"/>
  <c r="AC1124"/>
  <c r="AD1124"/>
  <c r="AE1124"/>
  <c r="AF1124"/>
  <c r="AA1125"/>
  <c r="AB1125"/>
  <c r="AC1125"/>
  <c r="AD1125"/>
  <c r="AE1125"/>
  <c r="AF1125"/>
  <c r="AA1126"/>
  <c r="AB1126"/>
  <c r="AC1126"/>
  <c r="AD1126"/>
  <c r="AE1126"/>
  <c r="AF1126"/>
  <c r="AA1127"/>
  <c r="AB1127"/>
  <c r="AC1127"/>
  <c r="AD1127"/>
  <c r="AE1127"/>
  <c r="AF1127"/>
  <c r="AA1128"/>
  <c r="AB1128"/>
  <c r="AC1128"/>
  <c r="AD1128"/>
  <c r="AE1128"/>
  <c r="AF1128"/>
  <c r="AA1129"/>
  <c r="AB1129"/>
  <c r="AC1129"/>
  <c r="AD1129"/>
  <c r="AE1129"/>
  <c r="AF1129"/>
  <c r="AA1130"/>
  <c r="AB1130"/>
  <c r="AC1130"/>
  <c r="AD1130"/>
  <c r="AE1130"/>
  <c r="AF1130"/>
  <c r="AA1131"/>
  <c r="AB1131"/>
  <c r="AC1131"/>
  <c r="AD1131"/>
  <c r="AE1131"/>
  <c r="AF1131"/>
  <c r="AA1132"/>
  <c r="AB1132"/>
  <c r="AC1132"/>
  <c r="AD1132"/>
  <c r="AE1132"/>
  <c r="AF1132"/>
  <c r="AA1133"/>
  <c r="AB1133"/>
  <c r="AC1133"/>
  <c r="AD1133"/>
  <c r="AE1133"/>
  <c r="AF1133"/>
  <c r="AA1134"/>
  <c r="AB1134"/>
  <c r="AC1134"/>
  <c r="AD1134"/>
  <c r="AE1134"/>
  <c r="AF1134"/>
  <c r="AA1135"/>
  <c r="AB1135"/>
  <c r="AC1135"/>
  <c r="AD1135"/>
  <c r="AE1135"/>
  <c r="AF1135"/>
  <c r="AA1136"/>
  <c r="AB1136"/>
  <c r="AC1136"/>
  <c r="AD1136"/>
  <c r="AE1136"/>
  <c r="AF1136"/>
  <c r="AA1137"/>
  <c r="AB1137"/>
  <c r="AC1137"/>
  <c r="AD1137"/>
  <c r="AE1137"/>
  <c r="AF1137"/>
  <c r="AA1138"/>
  <c r="AB1138"/>
  <c r="AC1138"/>
  <c r="AD1138"/>
  <c r="AE1138"/>
  <c r="AF1138"/>
  <c r="AA1139"/>
  <c r="AB1139"/>
  <c r="AC1139"/>
  <c r="AD1139"/>
  <c r="AE1139"/>
  <c r="AF1139"/>
  <c r="AA1140"/>
  <c r="AB1140"/>
  <c r="AC1140"/>
  <c r="AD1140"/>
  <c r="AE1140"/>
  <c r="AF1140"/>
  <c r="AA1141"/>
  <c r="AB1141"/>
  <c r="AC1141"/>
  <c r="AD1141"/>
  <c r="AE1141"/>
  <c r="AF1141"/>
  <c r="AA1142"/>
  <c r="AB1142"/>
  <c r="AC1142"/>
  <c r="AD1142"/>
  <c r="AE1142"/>
  <c r="AF1142"/>
  <c r="AA1143"/>
  <c r="AB1143"/>
  <c r="AC1143"/>
  <c r="AD1143"/>
  <c r="AE1143"/>
  <c r="AF1143"/>
  <c r="AA1144"/>
  <c r="AB1144"/>
  <c r="AC1144"/>
  <c r="AD1144"/>
  <c r="AE1144"/>
  <c r="AF1144"/>
  <c r="AA1145"/>
  <c r="AB1145"/>
  <c r="AC1145"/>
  <c r="AD1145"/>
  <c r="AE1145"/>
  <c r="AF1145"/>
  <c r="AA1146"/>
  <c r="AB1146"/>
  <c r="AC1146"/>
  <c r="AD1146"/>
  <c r="AE1146"/>
  <c r="AF1146"/>
  <c r="AA1147"/>
  <c r="AB1147"/>
  <c r="AC1147"/>
  <c r="AD1147"/>
  <c r="AE1147"/>
  <c r="AF1147"/>
  <c r="AA1148"/>
  <c r="AB1148"/>
  <c r="AC1148"/>
  <c r="AD1148"/>
  <c r="AE1148"/>
  <c r="AF1148"/>
  <c r="AA1149"/>
  <c r="AB1149"/>
  <c r="AC1149"/>
  <c r="AD1149"/>
  <c r="AE1149"/>
  <c r="AF1149"/>
  <c r="AA1150"/>
  <c r="AB1150"/>
  <c r="AC1150"/>
  <c r="AD1150"/>
  <c r="AE1150"/>
  <c r="AF1150"/>
  <c r="AA1151"/>
  <c r="AB1151"/>
  <c r="AC1151"/>
  <c r="AD1151"/>
  <c r="AE1151"/>
  <c r="AF1151"/>
  <c r="AA1152"/>
  <c r="AB1152"/>
  <c r="AC1152"/>
  <c r="AD1152"/>
  <c r="AE1152"/>
  <c r="AF1152"/>
  <c r="AA1153"/>
  <c r="AB1153"/>
  <c r="AC1153"/>
  <c r="AD1153"/>
  <c r="AE1153"/>
  <c r="AF1153"/>
  <c r="AA1156"/>
  <c r="AB1156"/>
  <c r="AC1156"/>
  <c r="AD1156"/>
  <c r="AE1156"/>
  <c r="AF1156"/>
  <c r="AA1157"/>
  <c r="AB1157"/>
  <c r="AC1157"/>
  <c r="AD1157"/>
  <c r="AE1157"/>
  <c r="AF1157"/>
  <c r="AA1158"/>
  <c r="AB1158"/>
  <c r="AC1158"/>
  <c r="AD1158"/>
  <c r="AE1158"/>
  <c r="AF1158"/>
  <c r="AA1159"/>
  <c r="AB1159"/>
  <c r="AC1159"/>
  <c r="AD1159"/>
  <c r="AE1159"/>
  <c r="AF1159"/>
  <c r="AA1160"/>
  <c r="AB1160"/>
  <c r="AC1160"/>
  <c r="AD1160"/>
  <c r="AE1160"/>
  <c r="AF1160"/>
  <c r="AA1161"/>
  <c r="AB1161"/>
  <c r="AC1161"/>
  <c r="AD1161"/>
  <c r="AE1161"/>
  <c r="AF1161"/>
  <c r="AA1162"/>
  <c r="AB1162"/>
  <c r="AC1162"/>
  <c r="AD1162"/>
  <c r="AE1162"/>
  <c r="AF1162"/>
  <c r="AA1163"/>
  <c r="AB1163"/>
  <c r="AC1163"/>
  <c r="AD1163"/>
  <c r="AE1163"/>
  <c r="AF1163"/>
  <c r="AA1164"/>
  <c r="AB1164"/>
  <c r="AC1164"/>
  <c r="AD1164"/>
  <c r="AE1164"/>
  <c r="AF1164"/>
  <c r="AA1165"/>
  <c r="AB1165"/>
  <c r="AC1165"/>
  <c r="AD1165"/>
  <c r="AE1165"/>
  <c r="AF1165"/>
  <c r="AA1166"/>
  <c r="AB1166"/>
  <c r="AC1166"/>
  <c r="AD1166"/>
  <c r="AE1166"/>
  <c r="AF1166"/>
  <c r="AA1167"/>
  <c r="AB1167"/>
  <c r="AC1167"/>
  <c r="AD1167"/>
  <c r="AE1167"/>
  <c r="AF1167"/>
  <c r="AA1168"/>
  <c r="AB1168"/>
  <c r="AC1168"/>
  <c r="AD1168"/>
  <c r="AE1168"/>
  <c r="AF1168"/>
  <c r="AA1169"/>
  <c r="AB1169"/>
  <c r="AC1169"/>
  <c r="AD1169"/>
  <c r="AE1169"/>
  <c r="AF1169"/>
  <c r="AA1170"/>
  <c r="AB1170"/>
  <c r="AC1170"/>
  <c r="AD1170"/>
  <c r="AE1170"/>
  <c r="AF1170"/>
  <c r="AA1171"/>
  <c r="AB1171"/>
  <c r="AC1171"/>
  <c r="AD1171"/>
  <c r="AE1171"/>
  <c r="AF1171"/>
  <c r="AA1172"/>
  <c r="AB1172"/>
  <c r="AC1172"/>
  <c r="AD1172"/>
  <c r="AE1172"/>
  <c r="AF1172"/>
  <c r="AA1173"/>
  <c r="AB1173"/>
  <c r="AC1173"/>
  <c r="AD1173"/>
  <c r="AE1173"/>
  <c r="AF1173"/>
  <c r="AA1174"/>
  <c r="AB1174"/>
  <c r="AC1174"/>
  <c r="AD1174"/>
  <c r="AE1174"/>
  <c r="AF1174"/>
  <c r="AA1175"/>
  <c r="AB1175"/>
  <c r="AC1175"/>
  <c r="AD1175"/>
  <c r="AE1175"/>
  <c r="AF1175"/>
  <c r="AA1176"/>
  <c r="AB1176"/>
  <c r="AC1176"/>
  <c r="AD1176"/>
  <c r="AE1176"/>
  <c r="AF1176"/>
  <c r="AA1177"/>
  <c r="AB1177"/>
  <c r="AC1177"/>
  <c r="AD1177"/>
  <c r="AE1177"/>
  <c r="AF1177"/>
  <c r="AA1178"/>
  <c r="AB1178"/>
  <c r="AC1178"/>
  <c r="AD1178"/>
  <c r="AE1178"/>
  <c r="AF1178"/>
  <c r="AA1179"/>
  <c r="AB1179"/>
  <c r="AC1179"/>
  <c r="AD1179"/>
  <c r="AE1179"/>
  <c r="AF1179"/>
  <c r="AA1180"/>
  <c r="AB1180"/>
  <c r="AC1180"/>
  <c r="AD1180"/>
  <c r="AE1180"/>
  <c r="AF1180"/>
  <c r="AA1181"/>
  <c r="AB1181"/>
  <c r="AC1181"/>
  <c r="AD1181"/>
  <c r="AE1181"/>
  <c r="AF1181"/>
  <c r="AA1182"/>
  <c r="AB1182"/>
  <c r="AC1182"/>
  <c r="AD1182"/>
  <c r="AE1182"/>
  <c r="AF1182"/>
  <c r="AA1183"/>
  <c r="AB1183"/>
  <c r="AC1183"/>
  <c r="AD1183"/>
  <c r="AE1183"/>
  <c r="AF1183"/>
  <c r="AA1184"/>
  <c r="AB1184"/>
  <c r="AC1184"/>
  <c r="AD1184"/>
  <c r="AE1184"/>
  <c r="AF1184"/>
  <c r="AA1185"/>
  <c r="AB1185"/>
  <c r="AC1185"/>
  <c r="AD1185"/>
  <c r="AE1185"/>
  <c r="AF1185"/>
  <c r="AA1186"/>
  <c r="AB1186"/>
  <c r="AC1186"/>
  <c r="AD1186"/>
  <c r="AE1186"/>
  <c r="AF1186"/>
  <c r="AA1187"/>
  <c r="AB1187"/>
  <c r="AC1187"/>
  <c r="AD1187"/>
  <c r="AE1187"/>
  <c r="AF1187"/>
  <c r="AA1188"/>
  <c r="AB1188"/>
  <c r="AC1188"/>
  <c r="AD1188"/>
  <c r="AE1188"/>
  <c r="AF1188"/>
  <c r="AA1189"/>
  <c r="AB1189"/>
  <c r="AC1189"/>
  <c r="AD1189"/>
  <c r="AE1189"/>
  <c r="AF1189"/>
  <c r="AA1190"/>
  <c r="AB1190"/>
  <c r="AC1190"/>
  <c r="AD1190"/>
  <c r="AE1190"/>
  <c r="AF1190"/>
  <c r="AA1191"/>
  <c r="AB1191"/>
  <c r="AC1191"/>
  <c r="AD1191"/>
  <c r="AE1191"/>
  <c r="AF1191"/>
  <c r="AA1192"/>
  <c r="AB1192"/>
  <c r="AC1192"/>
  <c r="AD1192"/>
  <c r="AE1192"/>
  <c r="AF1192"/>
  <c r="AA1193"/>
  <c r="AB1193"/>
  <c r="AC1193"/>
  <c r="AD1193"/>
  <c r="AE1193"/>
  <c r="AF1193"/>
  <c r="AA1194"/>
  <c r="AB1194"/>
  <c r="AC1194"/>
  <c r="AD1194"/>
  <c r="AE1194"/>
  <c r="AF1194"/>
  <c r="AA1195"/>
  <c r="AB1195"/>
  <c r="AC1195"/>
  <c r="AD1195"/>
  <c r="AE1195"/>
  <c r="AF1195"/>
  <c r="AA1196"/>
  <c r="AB1196"/>
  <c r="AC1196"/>
  <c r="AD1196"/>
  <c r="AE1196"/>
  <c r="AF1196"/>
  <c r="AA1197"/>
  <c r="AB1197"/>
  <c r="AC1197"/>
  <c r="AD1197"/>
  <c r="AE1197"/>
  <c r="AF1197"/>
  <c r="AA1198"/>
  <c r="AB1198"/>
  <c r="AC1198"/>
  <c r="AD1198"/>
  <c r="AE1198"/>
  <c r="AF1198"/>
  <c r="AA1199"/>
  <c r="AB1199"/>
  <c r="AC1199"/>
  <c r="AD1199"/>
  <c r="AE1199"/>
  <c r="AF1199"/>
  <c r="AA1200"/>
  <c r="AB1200"/>
  <c r="AC1200"/>
  <c r="AD1200"/>
  <c r="AE1200"/>
  <c r="AF1200"/>
  <c r="AA1201"/>
  <c r="AB1201"/>
  <c r="AC1201"/>
  <c r="AD1201"/>
  <c r="AE1201"/>
  <c r="AF1201"/>
  <c r="AA1202"/>
  <c r="AB1202"/>
  <c r="AC1202"/>
  <c r="AD1202"/>
  <c r="AE1202"/>
  <c r="AF1202"/>
  <c r="AA1203"/>
  <c r="AB1203"/>
  <c r="AC1203"/>
  <c r="AD1203"/>
  <c r="AE1203"/>
  <c r="AF1203"/>
  <c r="AA1204"/>
  <c r="AB1204"/>
  <c r="AC1204"/>
  <c r="AD1204"/>
  <c r="AE1204"/>
  <c r="AF1204"/>
  <c r="AA1205"/>
  <c r="AB1205"/>
  <c r="AC1205"/>
  <c r="AD1205"/>
  <c r="AE1205"/>
  <c r="AF1205"/>
  <c r="AA1206"/>
  <c r="AB1206"/>
  <c r="AC1206"/>
  <c r="AD1206"/>
  <c r="AE1206"/>
  <c r="AF1206"/>
  <c r="AA1207"/>
  <c r="AB1207"/>
  <c r="AC1207"/>
  <c r="AD1207"/>
  <c r="AE1207"/>
  <c r="AF1207"/>
  <c r="AA1208"/>
  <c r="AB1208"/>
  <c r="AC1208"/>
  <c r="AD1208"/>
  <c r="AE1208"/>
  <c r="AF1208"/>
  <c r="AA1209"/>
  <c r="AB1209"/>
  <c r="AC1209"/>
  <c r="AD1209"/>
  <c r="AE1209"/>
  <c r="AF1209"/>
  <c r="AA1210"/>
  <c r="AB1210"/>
  <c r="AC1210"/>
  <c r="AD1210"/>
  <c r="AE1210"/>
  <c r="AF1210"/>
  <c r="AA1211"/>
  <c r="AB1211"/>
  <c r="AC1211"/>
  <c r="AD1211"/>
  <c r="AE1211"/>
  <c r="AF1211"/>
  <c r="AA1212"/>
  <c r="AB1212"/>
  <c r="AC1212"/>
  <c r="AD1212"/>
  <c r="AE1212"/>
  <c r="AF1212"/>
  <c r="AA1213"/>
  <c r="AB1213"/>
  <c r="AC1213"/>
  <c r="AD1213"/>
  <c r="AE1213"/>
  <c r="AF1213"/>
  <c r="AA1214"/>
  <c r="AB1214"/>
  <c r="AC1214"/>
  <c r="AD1214"/>
  <c r="AE1214"/>
  <c r="AF1214"/>
  <c r="AA1215"/>
  <c r="AB1215"/>
  <c r="AC1215"/>
  <c r="AD1215"/>
  <c r="AE1215"/>
  <c r="AF1215"/>
  <c r="AA1216"/>
  <c r="AB1216"/>
  <c r="AC1216"/>
  <c r="AD1216"/>
  <c r="AE1216"/>
  <c r="AF1216"/>
  <c r="AA1217"/>
  <c r="AB1217"/>
  <c r="AC1217"/>
  <c r="AD1217"/>
  <c r="AE1217"/>
  <c r="AF1217"/>
  <c r="AA1218"/>
  <c r="AB1218"/>
  <c r="AC1218"/>
  <c r="AD1218"/>
  <c r="AE1218"/>
  <c r="AF1218"/>
  <c r="AA1219"/>
  <c r="AB1219"/>
  <c r="AC1219"/>
  <c r="AD1219"/>
  <c r="AE1219"/>
  <c r="AF1219"/>
  <c r="AA1220"/>
  <c r="AB1220"/>
  <c r="AC1220"/>
  <c r="AD1220"/>
  <c r="AE1220"/>
  <c r="AF1220"/>
  <c r="AA1221"/>
  <c r="AB1221"/>
  <c r="AC1221"/>
  <c r="AD1221"/>
  <c r="AE1221"/>
  <c r="AF1221"/>
  <c r="AA1222"/>
  <c r="AB1222"/>
  <c r="AC1222"/>
  <c r="AD1222"/>
  <c r="AE1222"/>
  <c r="AF1222"/>
  <c r="AA1223"/>
  <c r="AB1223"/>
  <c r="AC1223"/>
  <c r="AD1223"/>
  <c r="AE1223"/>
  <c r="AF1223"/>
  <c r="AA1224"/>
  <c r="AB1224"/>
  <c r="AC1224"/>
  <c r="AD1224"/>
  <c r="AE1224"/>
  <c r="AF1224"/>
  <c r="AA1225"/>
  <c r="AB1225"/>
  <c r="AC1225"/>
  <c r="AD1225"/>
  <c r="AE1225"/>
  <c r="AF1225"/>
  <c r="AA1226"/>
  <c r="AB1226"/>
  <c r="AC1226"/>
  <c r="AD1226"/>
  <c r="AE1226"/>
  <c r="AF1226"/>
  <c r="AA1227"/>
  <c r="AB1227"/>
  <c r="AC1227"/>
  <c r="AD1227"/>
  <c r="AE1227"/>
  <c r="AF1227"/>
  <c r="AA1228"/>
  <c r="AB1228"/>
  <c r="AC1228"/>
  <c r="AD1228"/>
  <c r="AE1228"/>
  <c r="AF1228"/>
  <c r="AA1229"/>
  <c r="AB1229"/>
  <c r="AC1229"/>
  <c r="AD1229"/>
  <c r="AE1229"/>
  <c r="AF1229"/>
  <c r="AA1230"/>
  <c r="AB1230"/>
  <c r="AC1230"/>
  <c r="AD1230"/>
  <c r="AE1230"/>
  <c r="AF1230"/>
  <c r="AA1231"/>
  <c r="AB1231"/>
  <c r="AC1231"/>
  <c r="AD1231"/>
  <c r="AE1231"/>
  <c r="AF1231"/>
  <c r="AA1232"/>
  <c r="AB1232"/>
  <c r="AC1232"/>
  <c r="AD1232"/>
  <c r="AE1232"/>
  <c r="AF1232"/>
  <c r="AA1233"/>
  <c r="AB1233"/>
  <c r="AC1233"/>
  <c r="AD1233"/>
  <c r="AE1233"/>
  <c r="AF1233"/>
  <c r="AA1234"/>
  <c r="AB1234"/>
  <c r="AC1234"/>
  <c r="AD1234"/>
  <c r="AE1234"/>
  <c r="AF1234"/>
  <c r="AA1235"/>
  <c r="AB1235"/>
  <c r="AC1235"/>
  <c r="AD1235"/>
  <c r="AE1235"/>
  <c r="AF1235"/>
  <c r="AA1236"/>
  <c r="AB1236"/>
  <c r="AC1236"/>
  <c r="AD1236"/>
  <c r="AE1236"/>
  <c r="AF1236"/>
  <c r="AA1237"/>
  <c r="AB1237"/>
  <c r="AC1237"/>
  <c r="AD1237"/>
  <c r="AE1237"/>
  <c r="AF1237"/>
  <c r="AA1238"/>
  <c r="AB1238"/>
  <c r="AC1238"/>
  <c r="AD1238"/>
  <c r="AE1238"/>
  <c r="AF1238"/>
  <c r="AA1239"/>
  <c r="AB1239"/>
  <c r="AC1239"/>
  <c r="AD1239"/>
  <c r="AE1239"/>
  <c r="AF1239"/>
  <c r="AA1240"/>
  <c r="AB1240"/>
  <c r="AC1240"/>
  <c r="AD1240"/>
  <c r="AE1240"/>
  <c r="AF1240"/>
  <c r="AA1241"/>
  <c r="AB1241"/>
  <c r="AC1241"/>
  <c r="AD1241"/>
  <c r="AE1241"/>
  <c r="AF1241"/>
  <c r="AA1242"/>
  <c r="AB1242"/>
  <c r="AC1242"/>
  <c r="AD1242"/>
  <c r="AE1242"/>
  <c r="AF1242"/>
  <c r="AA1243"/>
  <c r="AB1243"/>
  <c r="AC1243"/>
  <c r="AD1243"/>
  <c r="AE1243"/>
  <c r="AF1243"/>
  <c r="AA1244"/>
  <c r="AB1244"/>
  <c r="AC1244"/>
  <c r="AD1244"/>
  <c r="AE1244"/>
  <c r="AF1244"/>
  <c r="AA1245"/>
  <c r="AB1245"/>
  <c r="AC1245"/>
  <c r="AD1245"/>
  <c r="AE1245"/>
  <c r="AF1245"/>
  <c r="AA1246"/>
  <c r="AB1246"/>
  <c r="AC1246"/>
  <c r="AD1246"/>
  <c r="AE1246"/>
  <c r="AF1246"/>
  <c r="AA1247"/>
  <c r="AB1247"/>
  <c r="AC1247"/>
  <c r="AD1247"/>
  <c r="AE1247"/>
  <c r="AF1247"/>
  <c r="AA1248"/>
  <c r="AB1248"/>
  <c r="AC1248"/>
  <c r="AD1248"/>
  <c r="AE1248"/>
  <c r="AF1248"/>
  <c r="AA1249"/>
  <c r="AB1249"/>
  <c r="AC1249"/>
  <c r="AD1249"/>
  <c r="AE1249"/>
  <c r="AF1249"/>
  <c r="AA1250"/>
  <c r="AB1250"/>
  <c r="AC1250"/>
  <c r="AD1250"/>
  <c r="AE1250"/>
  <c r="AF1250"/>
  <c r="AA1251"/>
  <c r="AB1251"/>
  <c r="AC1251"/>
  <c r="AD1251"/>
  <c r="AE1251"/>
  <c r="AF1251"/>
  <c r="AA1252"/>
  <c r="AB1252"/>
  <c r="AC1252"/>
  <c r="AD1252"/>
  <c r="AE1252"/>
  <c r="AF1252"/>
  <c r="AA1253"/>
  <c r="AB1253"/>
  <c r="AC1253"/>
  <c r="AD1253"/>
  <c r="AE1253"/>
  <c r="AF1253"/>
  <c r="AA1254"/>
  <c r="AB1254"/>
  <c r="AC1254"/>
  <c r="AD1254"/>
  <c r="AE1254"/>
  <c r="AF1254"/>
  <c r="AA1255"/>
  <c r="AB1255"/>
  <c r="AC1255"/>
  <c r="AD1255"/>
  <c r="AE1255"/>
  <c r="AF1255"/>
  <c r="AA1256"/>
  <c r="AB1256"/>
  <c r="AC1256"/>
  <c r="AD1256"/>
  <c r="AE1256"/>
  <c r="AF1256"/>
  <c r="AA1257"/>
  <c r="AB1257"/>
  <c r="AC1257"/>
  <c r="AD1257"/>
  <c r="AE1257"/>
  <c r="AF1257"/>
  <c r="AA1258"/>
  <c r="AB1258"/>
  <c r="AC1258"/>
  <c r="AD1258"/>
  <c r="AE1258"/>
  <c r="AF1258"/>
  <c r="AA1259"/>
  <c r="AB1259"/>
  <c r="AC1259"/>
  <c r="AD1259"/>
  <c r="AE1259"/>
  <c r="AF1259"/>
  <c r="AA1260"/>
  <c r="AB1260"/>
  <c r="AC1260"/>
  <c r="AD1260"/>
  <c r="AE1260"/>
  <c r="AF1260"/>
  <c r="AA1261"/>
  <c r="AB1261"/>
  <c r="AC1261"/>
  <c r="AD1261"/>
  <c r="AE1261"/>
  <c r="AF1261"/>
  <c r="AA1262"/>
  <c r="AB1262"/>
  <c r="AC1262"/>
  <c r="AD1262"/>
  <c r="AE1262"/>
  <c r="AF1262"/>
  <c r="AA1263"/>
  <c r="AB1263"/>
  <c r="AC1263"/>
  <c r="AD1263"/>
  <c r="AE1263"/>
  <c r="AF1263"/>
  <c r="AA1264"/>
  <c r="AB1264"/>
  <c r="AC1264"/>
  <c r="AD1264"/>
  <c r="AE1264"/>
  <c r="AF1264"/>
  <c r="AA1265"/>
  <c r="AB1265"/>
  <c r="AC1265"/>
  <c r="AD1265"/>
  <c r="AE1265"/>
  <c r="AF1265"/>
  <c r="AA1266"/>
  <c r="AB1266"/>
  <c r="AC1266"/>
  <c r="AD1266"/>
  <c r="AE1266"/>
  <c r="AF1266"/>
  <c r="AA1267"/>
  <c r="AB1267"/>
  <c r="AC1267"/>
  <c r="AD1267"/>
  <c r="AE1267"/>
  <c r="AF1267"/>
  <c r="AA1268"/>
  <c r="AB1268"/>
  <c r="AC1268"/>
  <c r="AD1268"/>
  <c r="AE1268"/>
  <c r="AF1268"/>
  <c r="AA1269"/>
  <c r="AB1269"/>
  <c r="AC1269"/>
  <c r="AD1269"/>
  <c r="AE1269"/>
  <c r="AF1269"/>
  <c r="AA1270"/>
  <c r="AB1270"/>
  <c r="AC1270"/>
  <c r="AD1270"/>
  <c r="AE1270"/>
  <c r="AF1270"/>
  <c r="AA1271"/>
  <c r="AB1271"/>
  <c r="AC1271"/>
  <c r="AD1271"/>
  <c r="AE1271"/>
  <c r="AF1271"/>
  <c r="AA1272"/>
  <c r="AB1272"/>
  <c r="AC1272"/>
  <c r="AD1272"/>
  <c r="AE1272"/>
  <c r="AF1272"/>
  <c r="AA1273"/>
  <c r="AB1273"/>
  <c r="AC1273"/>
  <c r="AD1273"/>
  <c r="AE1273"/>
  <c r="AF1273"/>
  <c r="AA1274"/>
  <c r="AB1274"/>
  <c r="AC1274"/>
  <c r="AD1274"/>
  <c r="AE1274"/>
  <c r="AF1274"/>
  <c r="AA1275"/>
  <c r="AB1275"/>
  <c r="AC1275"/>
  <c r="AD1275"/>
  <c r="AE1275"/>
  <c r="AF1275"/>
  <c r="AA1276"/>
  <c r="AB1276"/>
  <c r="AC1276"/>
  <c r="AD1276"/>
  <c r="AE1276"/>
  <c r="AF1276"/>
  <c r="AA1280"/>
  <c r="AB1280"/>
  <c r="AC1280"/>
  <c r="AD1280"/>
  <c r="AE1280"/>
  <c r="AF1280"/>
  <c r="AA1281"/>
  <c r="AB1281"/>
  <c r="AC1281"/>
  <c r="AD1281"/>
  <c r="AE1281"/>
  <c r="AF1281"/>
  <c r="AA1282"/>
  <c r="AB1282"/>
  <c r="AC1282"/>
  <c r="AD1282"/>
  <c r="AE1282"/>
  <c r="AF1282"/>
  <c r="AA1283"/>
  <c r="AB1283"/>
  <c r="AC1283"/>
  <c r="AD1283"/>
  <c r="AE1283"/>
  <c r="AF1283"/>
  <c r="AA1290"/>
  <c r="AB1290"/>
  <c r="AC1290"/>
  <c r="AD1290"/>
  <c r="AE1290"/>
  <c r="AF1290"/>
  <c r="AA1291"/>
  <c r="AB1291"/>
  <c r="AC1291"/>
  <c r="AD1291"/>
  <c r="AE1291"/>
  <c r="AF1291"/>
  <c r="AA1292"/>
  <c r="AB1292"/>
  <c r="AC1292"/>
  <c r="AD1292"/>
  <c r="AE1292"/>
  <c r="AF1292"/>
  <c r="AA1293"/>
  <c r="AB1293"/>
  <c r="AC1293"/>
  <c r="AD1293"/>
  <c r="AE1293"/>
  <c r="AF1293"/>
  <c r="AA1294"/>
  <c r="AB1294"/>
  <c r="AC1294"/>
  <c r="AD1294"/>
  <c r="AE1294"/>
  <c r="AF1294"/>
  <c r="AA1295"/>
  <c r="AB1295"/>
  <c r="AC1295"/>
  <c r="AD1295"/>
  <c r="AE1295"/>
  <c r="AF1295"/>
  <c r="AA1296"/>
  <c r="AB1296"/>
  <c r="AC1296"/>
  <c r="AD1296"/>
  <c r="AE1296"/>
  <c r="AF1296"/>
  <c r="AA1298"/>
  <c r="AB1298"/>
  <c r="AC1298"/>
  <c r="AD1298"/>
  <c r="AE1298"/>
  <c r="AF1298"/>
  <c r="AA1299"/>
  <c r="AB1299"/>
  <c r="AC1299"/>
  <c r="AD1299"/>
  <c r="AE1299"/>
  <c r="AF1299"/>
  <c r="AA1300"/>
  <c r="AB1300"/>
  <c r="AC1300"/>
  <c r="AD1300"/>
  <c r="AE1300"/>
  <c r="AF1300"/>
  <c r="AA1301"/>
  <c r="AB1301"/>
  <c r="AC1301"/>
  <c r="AD1301"/>
  <c r="AE1301"/>
  <c r="AF1301"/>
  <c r="AA1302"/>
  <c r="AB1302"/>
  <c r="AC1302"/>
  <c r="AD1302"/>
  <c r="AE1302"/>
  <c r="AF1302"/>
  <c r="AA1303"/>
  <c r="AB1303"/>
  <c r="AC1303"/>
  <c r="AD1303"/>
  <c r="AE1303"/>
  <c r="AF1303"/>
  <c r="AA1304"/>
  <c r="AB1304"/>
  <c r="AC1304"/>
  <c r="AD1304"/>
  <c r="AE1304"/>
  <c r="AF1304"/>
  <c r="AA1305"/>
  <c r="AB1305"/>
  <c r="AC1305"/>
  <c r="AD1305"/>
  <c r="AE1305"/>
  <c r="AF1305"/>
  <c r="AA1307"/>
  <c r="AB1307"/>
  <c r="AC1307"/>
  <c r="AD1307"/>
  <c r="AE1307"/>
  <c r="AF1307"/>
  <c r="AA1308"/>
  <c r="AB1308"/>
  <c r="AC1308"/>
  <c r="AD1308"/>
  <c r="AE1308"/>
  <c r="AF1308"/>
  <c r="AA1309"/>
  <c r="AB1309"/>
  <c r="AC1309"/>
  <c r="AD1309"/>
  <c r="AE1309"/>
  <c r="AF1309"/>
  <c r="AA1310"/>
  <c r="AB1310"/>
  <c r="AC1310"/>
  <c r="AD1310"/>
  <c r="AE1310"/>
  <c r="AF1310"/>
  <c r="AA1311"/>
  <c r="AB1311"/>
  <c r="AC1311"/>
  <c r="AD1311"/>
  <c r="AE1311"/>
  <c r="AF1311"/>
  <c r="AA1312"/>
  <c r="AB1312"/>
  <c r="AC1312"/>
  <c r="AD1312"/>
  <c r="AE1312"/>
  <c r="AF1312"/>
  <c r="AA1313"/>
  <c r="AB1313"/>
  <c r="AC1313"/>
  <c r="AD1313"/>
  <c r="AE1313"/>
  <c r="AF1313"/>
  <c r="AA1314"/>
  <c r="AB1314"/>
  <c r="AC1314"/>
  <c r="AD1314"/>
  <c r="AE1314"/>
  <c r="AF1314"/>
  <c r="AA1315"/>
  <c r="AB1315"/>
  <c r="AC1315"/>
  <c r="AD1315"/>
  <c r="AE1315"/>
  <c r="AF1315"/>
  <c r="AA1316"/>
  <c r="AB1316"/>
  <c r="AC1316"/>
  <c r="AD1316"/>
  <c r="AE1316"/>
  <c r="AF1316"/>
  <c r="AA1317"/>
  <c r="AB1317"/>
  <c r="AC1317"/>
  <c r="AD1317"/>
  <c r="AE1317"/>
  <c r="AF1317"/>
  <c r="AA1318"/>
  <c r="AB1318"/>
  <c r="AC1318"/>
  <c r="AD1318"/>
  <c r="AE1318"/>
  <c r="AF1318"/>
  <c r="AA1319"/>
  <c r="AB1319"/>
  <c r="AC1319"/>
  <c r="AD1319"/>
  <c r="AE1319"/>
  <c r="AF1319"/>
  <c r="AA1320"/>
  <c r="AB1320"/>
  <c r="AC1320"/>
  <c r="AD1320"/>
  <c r="AE1320"/>
  <c r="AF1320"/>
  <c r="AA1321"/>
  <c r="AB1321"/>
  <c r="AC1321"/>
  <c r="AD1321"/>
  <c r="AE1321"/>
  <c r="AF1321"/>
  <c r="AA1322"/>
  <c r="AB1322"/>
  <c r="AC1322"/>
  <c r="AD1322"/>
  <c r="AE1322"/>
  <c r="AF1322"/>
  <c r="AA1323"/>
  <c r="AB1323"/>
  <c r="AC1323"/>
  <c r="AD1323"/>
  <c r="AE1323"/>
  <c r="AF1323"/>
  <c r="AA1324"/>
  <c r="AB1324"/>
  <c r="AC1324"/>
  <c r="AD1324"/>
  <c r="AE1324"/>
  <c r="AF1324"/>
  <c r="AA1325"/>
  <c r="AB1325"/>
  <c r="AC1325"/>
  <c r="AD1325"/>
  <c r="AE1325"/>
  <c r="AF1325"/>
  <c r="AA1326"/>
  <c r="AB1326"/>
  <c r="AC1326"/>
  <c r="AD1326"/>
  <c r="AE1326"/>
  <c r="AF1326"/>
  <c r="AA1327"/>
  <c r="AB1327"/>
  <c r="AC1327"/>
  <c r="AD1327"/>
  <c r="AE1327"/>
  <c r="AF1327"/>
  <c r="AA1328"/>
  <c r="AB1328"/>
  <c r="AC1328"/>
  <c r="AD1328"/>
  <c r="AE1328"/>
  <c r="AF1328"/>
  <c r="AA1329"/>
  <c r="AB1329"/>
  <c r="AC1329"/>
  <c r="AD1329"/>
  <c r="AE1329"/>
  <c r="AF1329"/>
  <c r="AA1330"/>
  <c r="AB1330"/>
  <c r="AC1330"/>
  <c r="AD1330"/>
  <c r="AE1330"/>
  <c r="AF1330"/>
  <c r="AA1331"/>
  <c r="AB1331"/>
  <c r="AC1331"/>
  <c r="AD1331"/>
  <c r="AE1331"/>
  <c r="AF1331"/>
  <c r="AA1332"/>
  <c r="AB1332"/>
  <c r="AC1332"/>
  <c r="AD1332"/>
  <c r="AE1332"/>
  <c r="AF1332"/>
  <c r="AA1333"/>
  <c r="AB1333"/>
  <c r="AC1333"/>
  <c r="AD1333"/>
  <c r="AE1333"/>
  <c r="AF1333"/>
  <c r="AA1334"/>
  <c r="AB1334"/>
  <c r="AC1334"/>
  <c r="AD1334"/>
  <c r="AE1334"/>
  <c r="AF1334"/>
  <c r="AA1335"/>
  <c r="AB1335"/>
  <c r="AC1335"/>
  <c r="AD1335"/>
  <c r="AE1335"/>
  <c r="AF1335"/>
  <c r="AA1336"/>
  <c r="AB1336"/>
  <c r="AC1336"/>
  <c r="AD1336"/>
  <c r="AE1336"/>
  <c r="AF1336"/>
  <c r="AA1337"/>
  <c r="AB1337"/>
  <c r="AC1337"/>
  <c r="AD1337"/>
  <c r="AE1337"/>
  <c r="AF1337"/>
  <c r="AA1338"/>
  <c r="AB1338"/>
  <c r="AC1338"/>
  <c r="AD1338"/>
  <c r="AE1338"/>
  <c r="AF1338"/>
  <c r="AA1339"/>
  <c r="AB1339"/>
  <c r="AC1339"/>
  <c r="AD1339"/>
  <c r="AE1339"/>
  <c r="AF1339"/>
  <c r="AA1340"/>
  <c r="AB1340"/>
  <c r="AC1340"/>
  <c r="AD1340"/>
  <c r="AE1340"/>
  <c r="AF1340"/>
  <c r="AA1341"/>
  <c r="AB1341"/>
  <c r="AC1341"/>
  <c r="AD1341"/>
  <c r="AE1341"/>
  <c r="AF1341"/>
  <c r="AA1342"/>
  <c r="AB1342"/>
  <c r="AC1342"/>
  <c r="AD1342"/>
  <c r="AE1342"/>
  <c r="AF1342"/>
  <c r="AA1343"/>
  <c r="AB1343"/>
  <c r="AC1343"/>
  <c r="AD1343"/>
  <c r="AE1343"/>
  <c r="AF1343"/>
  <c r="AA1344"/>
  <c r="AB1344"/>
  <c r="AC1344"/>
  <c r="AD1344"/>
  <c r="AE1344"/>
  <c r="AF1344"/>
  <c r="AA1345"/>
  <c r="AB1345"/>
  <c r="AC1345"/>
  <c r="AD1345"/>
  <c r="AE1345"/>
  <c r="AF1345"/>
  <c r="AA1346"/>
  <c r="AB1346"/>
  <c r="AC1346"/>
  <c r="AD1346"/>
  <c r="AE1346"/>
  <c r="AF1346"/>
  <c r="AA1347"/>
  <c r="AB1347"/>
  <c r="AC1347"/>
  <c r="AD1347"/>
  <c r="AE1347"/>
  <c r="AF1347"/>
  <c r="AA1348"/>
  <c r="AB1348"/>
  <c r="AC1348"/>
  <c r="AD1348"/>
  <c r="AE1348"/>
  <c r="AF1348"/>
  <c r="AA1349"/>
  <c r="AB1349"/>
  <c r="AC1349"/>
  <c r="AD1349"/>
  <c r="AE1349"/>
  <c r="AF1349"/>
  <c r="AA1350"/>
  <c r="AB1350"/>
  <c r="AC1350"/>
  <c r="AD1350"/>
  <c r="AE1350"/>
  <c r="AF1350"/>
  <c r="AA1351"/>
  <c r="AB1351"/>
  <c r="AC1351"/>
  <c r="AD1351"/>
  <c r="AE1351"/>
  <c r="AF1351"/>
  <c r="AA1352"/>
  <c r="AB1352"/>
  <c r="AC1352"/>
  <c r="AD1352"/>
  <c r="AE1352"/>
  <c r="AF1352"/>
  <c r="AA1353"/>
  <c r="AB1353"/>
  <c r="AC1353"/>
  <c r="AD1353"/>
  <c r="AE1353"/>
  <c r="AF1353"/>
  <c r="AA1358"/>
  <c r="AB1358"/>
  <c r="AC1358"/>
  <c r="AD1358"/>
  <c r="AE1358"/>
  <c r="AF1358"/>
  <c r="AA1359"/>
  <c r="AB1359"/>
  <c r="AC1359"/>
  <c r="AD1359"/>
  <c r="AE1359"/>
  <c r="AF1359"/>
  <c r="AA1360"/>
  <c r="AB1360"/>
  <c r="AC1360"/>
  <c r="AD1360"/>
  <c r="AE1360"/>
  <c r="AF1360"/>
  <c r="AA1361"/>
  <c r="AB1361"/>
  <c r="AC1361"/>
  <c r="AD1361"/>
  <c r="AE1361"/>
  <c r="AF1361"/>
  <c r="AA1362"/>
  <c r="AB1362"/>
  <c r="AC1362"/>
  <c r="AD1362"/>
  <c r="AE1362"/>
  <c r="AF1362"/>
  <c r="AA1363"/>
  <c r="AB1363"/>
  <c r="AC1363"/>
  <c r="AD1363"/>
  <c r="AE1363"/>
  <c r="AF1363"/>
  <c r="AA1364"/>
  <c r="AB1364"/>
  <c r="AC1364"/>
  <c r="AD1364"/>
  <c r="AE1364"/>
  <c r="AF1364"/>
  <c r="AA1365"/>
  <c r="AB1365"/>
  <c r="AC1365"/>
  <c r="AD1365"/>
  <c r="AE1365"/>
  <c r="AF1365"/>
  <c r="AA1366"/>
  <c r="AB1366"/>
  <c r="AC1366"/>
  <c r="AD1366"/>
  <c r="AE1366"/>
  <c r="AF1366"/>
  <c r="AA1367"/>
  <c r="AB1367"/>
  <c r="AC1367"/>
  <c r="AD1367"/>
  <c r="AE1367"/>
  <c r="AF1367"/>
  <c r="AA1368"/>
  <c r="AB1368"/>
  <c r="AC1368"/>
  <c r="AD1368"/>
  <c r="AE1368"/>
  <c r="AF1368"/>
  <c r="AA1369"/>
  <c r="AB1369"/>
  <c r="AC1369"/>
  <c r="AD1369"/>
  <c r="AE1369"/>
  <c r="AF1369"/>
  <c r="AA1370"/>
  <c r="AB1370"/>
  <c r="AC1370"/>
  <c r="AD1370"/>
  <c r="AE1370"/>
  <c r="AF1370"/>
  <c r="AA1371"/>
  <c r="AB1371"/>
  <c r="AC1371"/>
  <c r="AD1371"/>
  <c r="AE1371"/>
  <c r="AF1371"/>
  <c r="AA1372"/>
  <c r="AB1372"/>
  <c r="AC1372"/>
  <c r="AD1372"/>
  <c r="AE1372"/>
  <c r="AF1372"/>
  <c r="AA1373"/>
  <c r="AB1373"/>
  <c r="AC1373"/>
  <c r="AD1373"/>
  <c r="AE1373"/>
  <c r="AF1373"/>
  <c r="AA1374"/>
  <c r="AB1374"/>
  <c r="AC1374"/>
  <c r="AD1374"/>
  <c r="AE1374"/>
  <c r="AF1374"/>
  <c r="AA1375"/>
  <c r="AB1375"/>
  <c r="AC1375"/>
  <c r="AD1375"/>
  <c r="AE1375"/>
  <c r="AF1375"/>
  <c r="AA1376"/>
  <c r="AB1376"/>
  <c r="AC1376"/>
  <c r="AD1376"/>
  <c r="AE1376"/>
  <c r="AF1376"/>
  <c r="AA1377"/>
  <c r="AB1377"/>
  <c r="AC1377"/>
  <c r="AD1377"/>
  <c r="AE1377"/>
  <c r="AF1377"/>
  <c r="AA1378"/>
  <c r="AB1378"/>
  <c r="AC1378"/>
  <c r="AD1378"/>
  <c r="AE1378"/>
  <c r="AF1378"/>
  <c r="AA1379"/>
  <c r="AB1379"/>
  <c r="AC1379"/>
  <c r="AD1379"/>
  <c r="AE1379"/>
  <c r="AF1379"/>
  <c r="AA1380"/>
  <c r="AB1380"/>
  <c r="AC1380"/>
  <c r="AD1380"/>
  <c r="AE1380"/>
  <c r="AF1380"/>
  <c r="AA1381"/>
  <c r="AB1381"/>
  <c r="AC1381"/>
  <c r="AD1381"/>
  <c r="AE1381"/>
  <c r="AF1381"/>
  <c r="AA1382"/>
  <c r="AB1382"/>
  <c r="AC1382"/>
  <c r="AD1382"/>
  <c r="AE1382"/>
  <c r="AF1382"/>
  <c r="AA1383"/>
  <c r="AB1383"/>
  <c r="AC1383"/>
  <c r="AD1383"/>
  <c r="AE1383"/>
  <c r="AF1383"/>
  <c r="AA1384"/>
  <c r="AB1384"/>
  <c r="AC1384"/>
  <c r="AD1384"/>
  <c r="AE1384"/>
  <c r="AF1384"/>
  <c r="AA1385"/>
  <c r="AB1385"/>
  <c r="AC1385"/>
  <c r="AD1385"/>
  <c r="AE1385"/>
  <c r="AF1385"/>
  <c r="AF5"/>
  <c r="AE5"/>
  <c r="AD5"/>
  <c r="AC5"/>
  <c r="AB5"/>
  <c r="AA5"/>
  <c r="S7" i="17"/>
  <c r="R7"/>
  <c r="Q7"/>
  <c r="G608" l="1"/>
  <c r="V608" s="1"/>
  <c r="J29" i="36"/>
  <c r="J32" s="1"/>
  <c r="J34" l="1"/>
  <c r="E55" i="35"/>
  <c r="E54" s="1"/>
  <c r="E53" s="1"/>
  <c r="E52" s="1"/>
  <c r="F55"/>
  <c r="F54" s="1"/>
  <c r="F53" s="1"/>
  <c r="F52" s="1"/>
  <c r="D55"/>
  <c r="D54" s="1"/>
  <c r="D53" s="1"/>
  <c r="D52" s="1"/>
  <c r="E51"/>
  <c r="E50" s="1"/>
  <c r="E49" s="1"/>
  <c r="F51"/>
  <c r="F50" s="1"/>
  <c r="F49" s="1"/>
  <c r="E47"/>
  <c r="F47"/>
  <c r="E48"/>
  <c r="F48"/>
  <c r="D47"/>
  <c r="E44"/>
  <c r="F44"/>
  <c r="E45"/>
  <c r="F45"/>
  <c r="D45"/>
  <c r="D44"/>
  <c r="E32"/>
  <c r="F32"/>
  <c r="E33"/>
  <c r="F33"/>
  <c r="D33"/>
  <c r="D32"/>
  <c r="F25"/>
  <c r="E26"/>
  <c r="F26"/>
  <c r="D26"/>
  <c r="D25"/>
  <c r="F22"/>
  <c r="F23"/>
  <c r="D23"/>
  <c r="D22"/>
  <c r="E19"/>
  <c r="F19"/>
  <c r="E20"/>
  <c r="F20"/>
  <c r="D20"/>
  <c r="D19"/>
  <c r="E43" l="1"/>
  <c r="E46"/>
  <c r="F46"/>
  <c r="D46"/>
  <c r="F31"/>
  <c r="F30" s="1"/>
  <c r="D43"/>
  <c r="F43"/>
  <c r="E31"/>
  <c r="E30" s="1"/>
  <c r="F21"/>
  <c r="D31"/>
  <c r="D30" s="1"/>
  <c r="E18"/>
  <c r="D21"/>
  <c r="D24"/>
  <c r="F24"/>
  <c r="F18"/>
  <c r="D18"/>
  <c r="F42" l="1"/>
  <c r="F41" s="1"/>
  <c r="D42"/>
  <c r="E42"/>
  <c r="E41" s="1"/>
  <c r="D14"/>
  <c r="D13" s="1"/>
  <c r="F14"/>
  <c r="F13" s="1"/>
  <c r="D12" l="1"/>
  <c r="E12"/>
  <c r="F12"/>
  <c r="E11"/>
  <c r="F11"/>
  <c r="D11"/>
  <c r="D9"/>
  <c r="E8"/>
  <c r="E7" s="1"/>
  <c r="F8"/>
  <c r="F7" s="1"/>
  <c r="D8"/>
  <c r="G23" i="33"/>
  <c r="H23"/>
  <c r="I23"/>
  <c r="K28"/>
  <c r="L28"/>
  <c r="J28"/>
  <c r="I28"/>
  <c r="G28"/>
  <c r="L27"/>
  <c r="J27"/>
  <c r="I27"/>
  <c r="G27"/>
  <c r="K26"/>
  <c r="L26"/>
  <c r="H26"/>
  <c r="I26"/>
  <c r="J26"/>
  <c r="G26"/>
  <c r="K25"/>
  <c r="L25"/>
  <c r="H25"/>
  <c r="I25"/>
  <c r="J25"/>
  <c r="G25"/>
  <c r="K24"/>
  <c r="L24"/>
  <c r="H24"/>
  <c r="I24"/>
  <c r="J24"/>
  <c r="G24"/>
  <c r="H22"/>
  <c r="I22"/>
  <c r="G22"/>
  <c r="H21"/>
  <c r="I21"/>
  <c r="G21"/>
  <c r="A20"/>
  <c r="A21" s="1"/>
  <c r="K19"/>
  <c r="L19"/>
  <c r="H19"/>
  <c r="I19"/>
  <c r="J19"/>
  <c r="G19"/>
  <c r="H18"/>
  <c r="I18"/>
  <c r="G18"/>
  <c r="K17"/>
  <c r="L17"/>
  <c r="J17"/>
  <c r="H17"/>
  <c r="I17"/>
  <c r="G17"/>
  <c r="H16"/>
  <c r="I16"/>
  <c r="G16"/>
  <c r="G14"/>
  <c r="K15"/>
  <c r="L15"/>
  <c r="J15"/>
  <c r="K14"/>
  <c r="L14"/>
  <c r="J14"/>
  <c r="H14"/>
  <c r="I14"/>
  <c r="K13"/>
  <c r="L13"/>
  <c r="J13"/>
  <c r="I13"/>
  <c r="J12"/>
  <c r="K11"/>
  <c r="L11"/>
  <c r="H11"/>
  <c r="I11"/>
  <c r="J11"/>
  <c r="G11"/>
  <c r="H10"/>
  <c r="I10"/>
  <c r="G10"/>
  <c r="K9"/>
  <c r="L9"/>
  <c r="J9"/>
  <c r="H9"/>
  <c r="I9"/>
  <c r="K8"/>
  <c r="L8"/>
  <c r="H8"/>
  <c r="I8"/>
  <c r="J8"/>
  <c r="K7"/>
  <c r="J7"/>
  <c r="H6"/>
  <c r="I6"/>
  <c r="K6"/>
  <c r="L6"/>
  <c r="J6"/>
  <c r="G6"/>
  <c r="K5"/>
  <c r="L5"/>
  <c r="J5"/>
  <c r="H5"/>
  <c r="I5"/>
  <c r="G5"/>
  <c r="D10" i="35" l="1"/>
  <c r="F10"/>
  <c r="F6" s="1"/>
  <c r="E10"/>
  <c r="E6" s="1"/>
  <c r="D6" l="1"/>
  <c r="F241" i="17"/>
  <c r="G241"/>
  <c r="V241" s="1"/>
  <c r="E241"/>
  <c r="E11"/>
  <c r="T11" s="1"/>
  <c r="F11"/>
  <c r="U11" s="1"/>
  <c r="E12"/>
  <c r="T12" s="1"/>
  <c r="F12"/>
  <c r="U12" s="1"/>
  <c r="E13"/>
  <c r="T13" s="1"/>
  <c r="F13"/>
  <c r="U13" s="1"/>
  <c r="E15"/>
  <c r="T15" s="1"/>
  <c r="F15"/>
  <c r="U15" s="1"/>
  <c r="E18"/>
  <c r="T18" s="1"/>
  <c r="F18"/>
  <c r="U18" s="1"/>
  <c r="E19"/>
  <c r="T19" s="1"/>
  <c r="F19"/>
  <c r="U19" s="1"/>
  <c r="E20"/>
  <c r="T20" s="1"/>
  <c r="F20"/>
  <c r="U20" s="1"/>
  <c r="E21"/>
  <c r="T21" s="1"/>
  <c r="F21"/>
  <c r="U21" s="1"/>
  <c r="E22"/>
  <c r="T22" s="1"/>
  <c r="F22"/>
  <c r="U22" s="1"/>
  <c r="E25"/>
  <c r="T25" s="1"/>
  <c r="F25"/>
  <c r="U25" s="1"/>
  <c r="E26"/>
  <c r="T26" s="1"/>
  <c r="F26"/>
  <c r="U26" s="1"/>
  <c r="E27"/>
  <c r="T27" s="1"/>
  <c r="F27"/>
  <c r="U27" s="1"/>
  <c r="E29"/>
  <c r="T29" s="1"/>
  <c r="F29"/>
  <c r="U29" s="1"/>
  <c r="E30"/>
  <c r="T30" s="1"/>
  <c r="F30"/>
  <c r="U30" s="1"/>
  <c r="E31"/>
  <c r="T31" s="1"/>
  <c r="F31"/>
  <c r="U31" s="1"/>
  <c r="E33"/>
  <c r="F33"/>
  <c r="E35"/>
  <c r="F35"/>
  <c r="E40"/>
  <c r="T40" s="1"/>
  <c r="F40"/>
  <c r="U40" s="1"/>
  <c r="E41"/>
  <c r="T41" s="1"/>
  <c r="F41"/>
  <c r="U41" s="1"/>
  <c r="E44"/>
  <c r="T44" s="1"/>
  <c r="F44"/>
  <c r="U44" s="1"/>
  <c r="E45"/>
  <c r="T45" s="1"/>
  <c r="F45"/>
  <c r="U45" s="1"/>
  <c r="F55"/>
  <c r="U55" s="1"/>
  <c r="E56"/>
  <c r="T56" s="1"/>
  <c r="F56"/>
  <c r="U56" s="1"/>
  <c r="E60"/>
  <c r="T60" s="1"/>
  <c r="F60"/>
  <c r="U60" s="1"/>
  <c r="E67"/>
  <c r="F67"/>
  <c r="E69"/>
  <c r="F69"/>
  <c r="E73"/>
  <c r="F73"/>
  <c r="E76"/>
  <c r="F76"/>
  <c r="E78"/>
  <c r="F78"/>
  <c r="U94"/>
  <c r="E109"/>
  <c r="F109"/>
  <c r="E115"/>
  <c r="T115" s="1"/>
  <c r="F115"/>
  <c r="U115" s="1"/>
  <c r="E116"/>
  <c r="T116" s="1"/>
  <c r="F116"/>
  <c r="U116" s="1"/>
  <c r="E118"/>
  <c r="T118" s="1"/>
  <c r="F118"/>
  <c r="U118" s="1"/>
  <c r="E119"/>
  <c r="T119" s="1"/>
  <c r="F119"/>
  <c r="U119" s="1"/>
  <c r="E120"/>
  <c r="T120" s="1"/>
  <c r="F120"/>
  <c r="U120" s="1"/>
  <c r="E122"/>
  <c r="F122"/>
  <c r="E124"/>
  <c r="T124" s="1"/>
  <c r="F124"/>
  <c r="U124" s="1"/>
  <c r="E125"/>
  <c r="T125" s="1"/>
  <c r="F125"/>
  <c r="U125" s="1"/>
  <c r="E127"/>
  <c r="T127" s="1"/>
  <c r="F127"/>
  <c r="U127" s="1"/>
  <c r="E128"/>
  <c r="T128" s="1"/>
  <c r="F128"/>
  <c r="U128" s="1"/>
  <c r="E130"/>
  <c r="T130" s="1"/>
  <c r="F130"/>
  <c r="U130" s="1"/>
  <c r="E131"/>
  <c r="T131" s="1"/>
  <c r="F131"/>
  <c r="U131" s="1"/>
  <c r="E133"/>
  <c r="T133" s="1"/>
  <c r="F133"/>
  <c r="U133" s="1"/>
  <c r="E134"/>
  <c r="T134" s="1"/>
  <c r="F134"/>
  <c r="U134" s="1"/>
  <c r="E136"/>
  <c r="T136" s="1"/>
  <c r="F136"/>
  <c r="U136" s="1"/>
  <c r="E137"/>
  <c r="T137" s="1"/>
  <c r="F137"/>
  <c r="U137" s="1"/>
  <c r="E139"/>
  <c r="T139" s="1"/>
  <c r="F139"/>
  <c r="U139" s="1"/>
  <c r="E140"/>
  <c r="T140" s="1"/>
  <c r="F140"/>
  <c r="U140" s="1"/>
  <c r="E142"/>
  <c r="T142" s="1"/>
  <c r="F142"/>
  <c r="U142" s="1"/>
  <c r="E143"/>
  <c r="T143" s="1"/>
  <c r="F143"/>
  <c r="U143" s="1"/>
  <c r="E145"/>
  <c r="T145" s="1"/>
  <c r="F145"/>
  <c r="U145" s="1"/>
  <c r="E146"/>
  <c r="T146" s="1"/>
  <c r="F146"/>
  <c r="U146" s="1"/>
  <c r="E148"/>
  <c r="T148" s="1"/>
  <c r="F148"/>
  <c r="U148" s="1"/>
  <c r="E149"/>
  <c r="T149" s="1"/>
  <c r="F149"/>
  <c r="U149" s="1"/>
  <c r="E151"/>
  <c r="F151"/>
  <c r="E153"/>
  <c r="F153"/>
  <c r="E156"/>
  <c r="T156" s="1"/>
  <c r="F156"/>
  <c r="U156" s="1"/>
  <c r="E157"/>
  <c r="T157" s="1"/>
  <c r="F157"/>
  <c r="U157" s="1"/>
  <c r="E159"/>
  <c r="F159"/>
  <c r="E161"/>
  <c r="T161" s="1"/>
  <c r="F161"/>
  <c r="U161" s="1"/>
  <c r="E162"/>
  <c r="T162" s="1"/>
  <c r="F162"/>
  <c r="U162" s="1"/>
  <c r="E164"/>
  <c r="T164" s="1"/>
  <c r="F164"/>
  <c r="U164" s="1"/>
  <c r="E165"/>
  <c r="T165" s="1"/>
  <c r="F165"/>
  <c r="U165" s="1"/>
  <c r="E167"/>
  <c r="T167" s="1"/>
  <c r="F167"/>
  <c r="U167" s="1"/>
  <c r="E168"/>
  <c r="T168" s="1"/>
  <c r="F168"/>
  <c r="U168" s="1"/>
  <c r="E170"/>
  <c r="F170"/>
  <c r="E173"/>
  <c r="F173"/>
  <c r="E177"/>
  <c r="F177"/>
  <c r="E179"/>
  <c r="F179"/>
  <c r="E181"/>
  <c r="F181"/>
  <c r="E183"/>
  <c r="F183"/>
  <c r="E185"/>
  <c r="F185"/>
  <c r="E187"/>
  <c r="F187"/>
  <c r="E189"/>
  <c r="F189"/>
  <c r="E191"/>
  <c r="F191"/>
  <c r="E193"/>
  <c r="F193"/>
  <c r="E195"/>
  <c r="F195"/>
  <c r="E197"/>
  <c r="F197"/>
  <c r="E199"/>
  <c r="F199"/>
  <c r="E201"/>
  <c r="F201"/>
  <c r="E204"/>
  <c r="F204"/>
  <c r="E210"/>
  <c r="F210"/>
  <c r="E213"/>
  <c r="F213"/>
  <c r="E216"/>
  <c r="F216"/>
  <c r="E219"/>
  <c r="F219"/>
  <c r="E224"/>
  <c r="T224" s="1"/>
  <c r="F224"/>
  <c r="U224" s="1"/>
  <c r="F225"/>
  <c r="U225" s="1"/>
  <c r="E228"/>
  <c r="F228"/>
  <c r="E237"/>
  <c r="F237"/>
  <c r="E245"/>
  <c r="F245"/>
  <c r="F249"/>
  <c r="E269"/>
  <c r="F269"/>
  <c r="E275"/>
  <c r="F275"/>
  <c r="E281"/>
  <c r="F281"/>
  <c r="E290"/>
  <c r="T290" s="1"/>
  <c r="F290"/>
  <c r="U290" s="1"/>
  <c r="E292"/>
  <c r="F292"/>
  <c r="E294"/>
  <c r="F294"/>
  <c r="E296"/>
  <c r="F296"/>
  <c r="E300"/>
  <c r="E306"/>
  <c r="F306"/>
  <c r="F310"/>
  <c r="E322"/>
  <c r="F322"/>
  <c r="E338"/>
  <c r="T338" s="1"/>
  <c r="F338"/>
  <c r="U338" s="1"/>
  <c r="E339"/>
  <c r="T339" s="1"/>
  <c r="F339"/>
  <c r="U339" s="1"/>
  <c r="E341"/>
  <c r="F341"/>
  <c r="E359"/>
  <c r="T359" s="1"/>
  <c r="F359"/>
  <c r="U359" s="1"/>
  <c r="E362"/>
  <c r="T362" s="1"/>
  <c r="F362"/>
  <c r="U362" s="1"/>
  <c r="E363"/>
  <c r="T363" s="1"/>
  <c r="F363"/>
  <c r="U363" s="1"/>
  <c r="E366"/>
  <c r="F366"/>
  <c r="E372"/>
  <c r="F372"/>
  <c r="F379"/>
  <c r="E386"/>
  <c r="F386"/>
  <c r="E389"/>
  <c r="F389"/>
  <c r="E392"/>
  <c r="F392"/>
  <c r="F395"/>
  <c r="E405"/>
  <c r="F405"/>
  <c r="E408"/>
  <c r="F408"/>
  <c r="E411"/>
  <c r="F411"/>
  <c r="E413"/>
  <c r="F413"/>
  <c r="E419"/>
  <c r="F419"/>
  <c r="E422"/>
  <c r="T422" s="1"/>
  <c r="F422"/>
  <c r="U422" s="1"/>
  <c r="E424"/>
  <c r="T424" s="1"/>
  <c r="F424"/>
  <c r="U424" s="1"/>
  <c r="E428"/>
  <c r="F428"/>
  <c r="E437"/>
  <c r="F437"/>
  <c r="E444"/>
  <c r="T444" s="1"/>
  <c r="F444"/>
  <c r="U444" s="1"/>
  <c r="E447"/>
  <c r="F447"/>
  <c r="F449"/>
  <c r="E456"/>
  <c r="E455" s="1"/>
  <c r="F456"/>
  <c r="E462"/>
  <c r="F462"/>
  <c r="E465"/>
  <c r="T465" s="1"/>
  <c r="F465"/>
  <c r="U465" s="1"/>
  <c r="E466"/>
  <c r="T466" s="1"/>
  <c r="F466"/>
  <c r="U466" s="1"/>
  <c r="E469"/>
  <c r="F469"/>
  <c r="E473"/>
  <c r="F473"/>
  <c r="E476"/>
  <c r="F476"/>
  <c r="E481"/>
  <c r="F481"/>
  <c r="E484"/>
  <c r="F484"/>
  <c r="E488"/>
  <c r="F488"/>
  <c r="E490"/>
  <c r="F490"/>
  <c r="E494"/>
  <c r="F494"/>
  <c r="E497"/>
  <c r="F497"/>
  <c r="E500"/>
  <c r="F500"/>
  <c r="E505"/>
  <c r="T505" s="1"/>
  <c r="F505"/>
  <c r="U505" s="1"/>
  <c r="E511"/>
  <c r="F511"/>
  <c r="E514"/>
  <c r="F514"/>
  <c r="F520"/>
  <c r="E526"/>
  <c r="F526"/>
  <c r="E529"/>
  <c r="F529"/>
  <c r="E535"/>
  <c r="F535"/>
  <c r="E538"/>
  <c r="T538" s="1"/>
  <c r="F538"/>
  <c r="U538" s="1"/>
  <c r="E539"/>
  <c r="T539" s="1"/>
  <c r="F539"/>
  <c r="U539" s="1"/>
  <c r="E544"/>
  <c r="T544" s="1"/>
  <c r="F544"/>
  <c r="U544" s="1"/>
  <c r="E545"/>
  <c r="T545" s="1"/>
  <c r="F545"/>
  <c r="U545" s="1"/>
  <c r="E555"/>
  <c r="T555" s="1"/>
  <c r="F555"/>
  <c r="U555" s="1"/>
  <c r="E556"/>
  <c r="T556" s="1"/>
  <c r="F556"/>
  <c r="U556" s="1"/>
  <c r="E557"/>
  <c r="T557" s="1"/>
  <c r="F557"/>
  <c r="U557" s="1"/>
  <c r="E561"/>
  <c r="T561" s="1"/>
  <c r="F561"/>
  <c r="U561" s="1"/>
  <c r="E565"/>
  <c r="F565"/>
  <c r="E568"/>
  <c r="T568" s="1"/>
  <c r="F568"/>
  <c r="U568" s="1"/>
  <c r="E569"/>
  <c r="T569" s="1"/>
  <c r="F569"/>
  <c r="U569" s="1"/>
  <c r="E570"/>
  <c r="T570" s="1"/>
  <c r="F570"/>
  <c r="U570" s="1"/>
  <c r="E573"/>
  <c r="F573"/>
  <c r="E579"/>
  <c r="F579"/>
  <c r="E582"/>
  <c r="T582" s="1"/>
  <c r="F582"/>
  <c r="U582" s="1"/>
  <c r="E584"/>
  <c r="T584" s="1"/>
  <c r="F584"/>
  <c r="U584" s="1"/>
  <c r="E588"/>
  <c r="F588"/>
  <c r="T592"/>
  <c r="U592"/>
  <c r="E598"/>
  <c r="T598" s="1"/>
  <c r="F598"/>
  <c r="U598" s="1"/>
  <c r="F607"/>
  <c r="E617"/>
  <c r="F617"/>
  <c r="E620"/>
  <c r="F620"/>
  <c r="E626"/>
  <c r="F626"/>
  <c r="E629"/>
  <c r="F629"/>
  <c r="E639"/>
  <c r="F639"/>
  <c r="E642"/>
  <c r="F642"/>
  <c r="E647"/>
  <c r="T647" s="1"/>
  <c r="F647"/>
  <c r="U647" s="1"/>
  <c r="E650"/>
  <c r="F650"/>
  <c r="E653"/>
  <c r="F653"/>
  <c r="E658"/>
  <c r="F658"/>
  <c r="E663"/>
  <c r="F663"/>
  <c r="E669"/>
  <c r="T669" s="1"/>
  <c r="F669"/>
  <c r="U669" s="1"/>
  <c r="E670"/>
  <c r="T670" s="1"/>
  <c r="F670"/>
  <c r="U670" s="1"/>
  <c r="E672"/>
  <c r="F672"/>
  <c r="E674"/>
  <c r="T674" s="1"/>
  <c r="F674"/>
  <c r="U674" s="1"/>
  <c r="E675"/>
  <c r="T675" s="1"/>
  <c r="F675"/>
  <c r="U675" s="1"/>
  <c r="E676"/>
  <c r="T676" s="1"/>
  <c r="F676"/>
  <c r="U676" s="1"/>
  <c r="E678"/>
  <c r="T678" s="1"/>
  <c r="F678"/>
  <c r="U678" s="1"/>
  <c r="E679"/>
  <c r="T679" s="1"/>
  <c r="F679"/>
  <c r="U679" s="1"/>
  <c r="E681"/>
  <c r="F681"/>
  <c r="E684"/>
  <c r="F684"/>
  <c r="E686"/>
  <c r="F686"/>
  <c r="E693"/>
  <c r="T693" s="1"/>
  <c r="F693"/>
  <c r="U693" s="1"/>
  <c r="F704"/>
  <c r="E709"/>
  <c r="T709" s="1"/>
  <c r="F709"/>
  <c r="U709" s="1"/>
  <c r="F711"/>
  <c r="U711" s="1"/>
  <c r="E713"/>
  <c r="F713"/>
  <c r="F718"/>
  <c r="U718" s="1"/>
  <c r="E720"/>
  <c r="T720" s="1"/>
  <c r="F720"/>
  <c r="U720" s="1"/>
  <c r="F733"/>
  <c r="U733" s="1"/>
  <c r="E740"/>
  <c r="F740"/>
  <c r="E745"/>
  <c r="T745" s="1"/>
  <c r="F745"/>
  <c r="U745" s="1"/>
  <c r="E746"/>
  <c r="T746" s="1"/>
  <c r="E747"/>
  <c r="T747" s="1"/>
  <c r="F747"/>
  <c r="U747" s="1"/>
  <c r="E749"/>
  <c r="F749"/>
  <c r="E751"/>
  <c r="T751" s="1"/>
  <c r="F751"/>
  <c r="U751" s="1"/>
  <c r="E752"/>
  <c r="T752" s="1"/>
  <c r="F752"/>
  <c r="U752" s="1"/>
  <c r="E754"/>
  <c r="T754" s="1"/>
  <c r="F754"/>
  <c r="U754" s="1"/>
  <c r="E755"/>
  <c r="T755" s="1"/>
  <c r="F755"/>
  <c r="U755" s="1"/>
  <c r="E756"/>
  <c r="T756" s="1"/>
  <c r="F756"/>
  <c r="U756" s="1"/>
  <c r="E761"/>
  <c r="T761" s="1"/>
  <c r="F761"/>
  <c r="U761" s="1"/>
  <c r="E762"/>
  <c r="T762" s="1"/>
  <c r="F762"/>
  <c r="U762" s="1"/>
  <c r="E763"/>
  <c r="T763" s="1"/>
  <c r="F763"/>
  <c r="U763" s="1"/>
  <c r="E765"/>
  <c r="F765"/>
  <c r="E767"/>
  <c r="T767" s="1"/>
  <c r="F767"/>
  <c r="U767" s="1"/>
  <c r="E768"/>
  <c r="T768" s="1"/>
  <c r="F768"/>
  <c r="U768" s="1"/>
  <c r="E773"/>
  <c r="T773" s="1"/>
  <c r="F773"/>
  <c r="U773" s="1"/>
  <c r="E775"/>
  <c r="T775" s="1"/>
  <c r="F775"/>
  <c r="U775" s="1"/>
  <c r="E779"/>
  <c r="T779" s="1"/>
  <c r="F779"/>
  <c r="U779" s="1"/>
  <c r="E780"/>
  <c r="T780" s="1"/>
  <c r="F780"/>
  <c r="U780" s="1"/>
  <c r="E782"/>
  <c r="F782"/>
  <c r="F787"/>
  <c r="U787" s="1"/>
  <c r="E789"/>
  <c r="T789" s="1"/>
  <c r="F789"/>
  <c r="U789" s="1"/>
  <c r="E793"/>
  <c r="T793" s="1"/>
  <c r="F793"/>
  <c r="U793" s="1"/>
  <c r="E794"/>
  <c r="T794" s="1"/>
  <c r="F794"/>
  <c r="U794" s="1"/>
  <c r="E803"/>
  <c r="T803" s="1"/>
  <c r="F803"/>
  <c r="U803" s="1"/>
  <c r="E807"/>
  <c r="T807" s="1"/>
  <c r="F807"/>
  <c r="U807" s="1"/>
  <c r="E808"/>
  <c r="T808" s="1"/>
  <c r="F808"/>
  <c r="U808" s="1"/>
  <c r="E817"/>
  <c r="T817" s="1"/>
  <c r="F817"/>
  <c r="U817" s="1"/>
  <c r="E821"/>
  <c r="F821"/>
  <c r="E826"/>
  <c r="T826" s="1"/>
  <c r="F826"/>
  <c r="U826" s="1"/>
  <c r="E828"/>
  <c r="T828" s="1"/>
  <c r="F828"/>
  <c r="U828" s="1"/>
  <c r="E830"/>
  <c r="F830"/>
  <c r="E832"/>
  <c r="T832" s="1"/>
  <c r="F832"/>
  <c r="U832" s="1"/>
  <c r="F833"/>
  <c r="U833" s="1"/>
  <c r="E834"/>
  <c r="T834" s="1"/>
  <c r="F834"/>
  <c r="U834" s="1"/>
  <c r="E836"/>
  <c r="F836"/>
  <c r="E839"/>
  <c r="T839" s="1"/>
  <c r="F839"/>
  <c r="U839" s="1"/>
  <c r="E840"/>
  <c r="T840" s="1"/>
  <c r="F840"/>
  <c r="U840" s="1"/>
  <c r="E844"/>
  <c r="F844"/>
  <c r="E846"/>
  <c r="F846"/>
  <c r="E851"/>
  <c r="T851" s="1"/>
  <c r="F851"/>
  <c r="U851" s="1"/>
  <c r="E873"/>
  <c r="F873"/>
  <c r="E877"/>
  <c r="F877"/>
  <c r="E883"/>
  <c r="F883"/>
  <c r="E885"/>
  <c r="F885"/>
  <c r="E887"/>
  <c r="F887"/>
  <c r="F891"/>
  <c r="U891" s="1"/>
  <c r="E892"/>
  <c r="T892" s="1"/>
  <c r="F892"/>
  <c r="U892" s="1"/>
  <c r="E895"/>
  <c r="T895" s="1"/>
  <c r="F895"/>
  <c r="U895" s="1"/>
  <c r="I428" i="11"/>
  <c r="J428"/>
  <c r="N428" s="1"/>
  <c r="H428"/>
  <c r="E45" i="23"/>
  <c r="D45"/>
  <c r="E884" i="17" l="1"/>
  <c r="T884" s="1"/>
  <c r="T885"/>
  <c r="E781"/>
  <c r="T781" s="1"/>
  <c r="T782"/>
  <c r="F888"/>
  <c r="U888" s="1"/>
  <c r="U889"/>
  <c r="F884"/>
  <c r="U884" s="1"/>
  <c r="U885"/>
  <c r="F876"/>
  <c r="U876" s="1"/>
  <c r="U877"/>
  <c r="F843"/>
  <c r="U843" s="1"/>
  <c r="U844"/>
  <c r="E820"/>
  <c r="T820" s="1"/>
  <c r="T821"/>
  <c r="F781"/>
  <c r="U781" s="1"/>
  <c r="U782"/>
  <c r="F748"/>
  <c r="U748" s="1"/>
  <c r="U749"/>
  <c r="E739"/>
  <c r="E738" s="1"/>
  <c r="T738" s="1"/>
  <c r="T740"/>
  <c r="E683"/>
  <c r="T683" s="1"/>
  <c r="T684"/>
  <c r="E662"/>
  <c r="E661" s="1"/>
  <c r="T661" s="1"/>
  <c r="T663"/>
  <c r="E652"/>
  <c r="T652" s="1"/>
  <c r="T653"/>
  <c r="E638"/>
  <c r="T638" s="1"/>
  <c r="T639"/>
  <c r="E628"/>
  <c r="T628" s="1"/>
  <c r="T629"/>
  <c r="E619"/>
  <c r="T619" s="1"/>
  <c r="T620"/>
  <c r="F587"/>
  <c r="U587" s="1"/>
  <c r="U588"/>
  <c r="F572"/>
  <c r="F571" s="1"/>
  <c r="U571" s="1"/>
  <c r="U573"/>
  <c r="F564"/>
  <c r="U564" s="1"/>
  <c r="U565"/>
  <c r="E534"/>
  <c r="E533" s="1"/>
  <c r="T533" s="1"/>
  <c r="T535"/>
  <c r="E525"/>
  <c r="T525" s="1"/>
  <c r="T526"/>
  <c r="F510"/>
  <c r="F509" s="1"/>
  <c r="U509" s="1"/>
  <c r="U511"/>
  <c r="F499"/>
  <c r="U499" s="1"/>
  <c r="U500"/>
  <c r="F493"/>
  <c r="F492" s="1"/>
  <c r="U492" s="1"/>
  <c r="U494"/>
  <c r="F487"/>
  <c r="U487" s="1"/>
  <c r="U488"/>
  <c r="F480"/>
  <c r="U480" s="1"/>
  <c r="U481"/>
  <c r="F472"/>
  <c r="U472" s="1"/>
  <c r="U473"/>
  <c r="F461"/>
  <c r="F460" s="1"/>
  <c r="U460" s="1"/>
  <c r="U462"/>
  <c r="F448"/>
  <c r="U448" s="1"/>
  <c r="U449"/>
  <c r="E427"/>
  <c r="E426" s="1"/>
  <c r="T426" s="1"/>
  <c r="T428"/>
  <c r="E412"/>
  <c r="T412" s="1"/>
  <c r="T413"/>
  <c r="E407"/>
  <c r="E406" s="1"/>
  <c r="T406" s="1"/>
  <c r="T408"/>
  <c r="F391"/>
  <c r="U391" s="1"/>
  <c r="U392"/>
  <c r="F385"/>
  <c r="U385" s="1"/>
  <c r="U386"/>
  <c r="E371"/>
  <c r="T371" s="1"/>
  <c r="T372"/>
  <c r="E340"/>
  <c r="T340" s="1"/>
  <c r="T341"/>
  <c r="F295"/>
  <c r="U295" s="1"/>
  <c r="U296"/>
  <c r="F291"/>
  <c r="U291" s="1"/>
  <c r="U292"/>
  <c r="F280"/>
  <c r="U280" s="1"/>
  <c r="U281"/>
  <c r="F268"/>
  <c r="U268" s="1"/>
  <c r="U269"/>
  <c r="E244"/>
  <c r="T244" s="1"/>
  <c r="T245"/>
  <c r="E227"/>
  <c r="T227" s="1"/>
  <c r="T228"/>
  <c r="F218"/>
  <c r="U218" s="1"/>
  <c r="U219"/>
  <c r="F212"/>
  <c r="U212" s="1"/>
  <c r="U213"/>
  <c r="F203"/>
  <c r="U203" s="1"/>
  <c r="U204"/>
  <c r="F198"/>
  <c r="U198" s="1"/>
  <c r="U199"/>
  <c r="F194"/>
  <c r="U194" s="1"/>
  <c r="U195"/>
  <c r="F190"/>
  <c r="U190" s="1"/>
  <c r="U191"/>
  <c r="F186"/>
  <c r="U186" s="1"/>
  <c r="U187"/>
  <c r="F182"/>
  <c r="U182" s="1"/>
  <c r="U183"/>
  <c r="F178"/>
  <c r="U178" s="1"/>
  <c r="U179"/>
  <c r="F172"/>
  <c r="U172" s="1"/>
  <c r="U173"/>
  <c r="F158"/>
  <c r="U158" s="1"/>
  <c r="U159"/>
  <c r="F150"/>
  <c r="U150" s="1"/>
  <c r="U151"/>
  <c r="F75"/>
  <c r="U75" s="1"/>
  <c r="U76"/>
  <c r="F68"/>
  <c r="U68" s="1"/>
  <c r="U69"/>
  <c r="F32"/>
  <c r="U32" s="1"/>
  <c r="U33"/>
  <c r="E240"/>
  <c r="T241"/>
  <c r="E876"/>
  <c r="T876" s="1"/>
  <c r="T877"/>
  <c r="E843"/>
  <c r="T844"/>
  <c r="E886"/>
  <c r="T886" s="1"/>
  <c r="T887"/>
  <c r="E882"/>
  <c r="T882" s="1"/>
  <c r="T883"/>
  <c r="E872"/>
  <c r="T873"/>
  <c r="E845"/>
  <c r="T845" s="1"/>
  <c r="T846"/>
  <c r="E835"/>
  <c r="T835" s="1"/>
  <c r="T836"/>
  <c r="F820"/>
  <c r="U820" s="1"/>
  <c r="U821"/>
  <c r="E764"/>
  <c r="T764" s="1"/>
  <c r="T765"/>
  <c r="F739"/>
  <c r="U739" s="1"/>
  <c r="U740"/>
  <c r="F683"/>
  <c r="U683" s="1"/>
  <c r="U684"/>
  <c r="F662"/>
  <c r="F661" s="1"/>
  <c r="U661" s="1"/>
  <c r="U663"/>
  <c r="F652"/>
  <c r="U652" s="1"/>
  <c r="U653"/>
  <c r="F638"/>
  <c r="F637" s="1"/>
  <c r="U637" s="1"/>
  <c r="U639"/>
  <c r="F628"/>
  <c r="U628" s="1"/>
  <c r="U629"/>
  <c r="F619"/>
  <c r="F618" s="1"/>
  <c r="U618" s="1"/>
  <c r="U620"/>
  <c r="F606"/>
  <c r="U606" s="1"/>
  <c r="U607"/>
  <c r="E578"/>
  <c r="T578" s="1"/>
  <c r="T579"/>
  <c r="F534"/>
  <c r="U534" s="1"/>
  <c r="U535"/>
  <c r="F525"/>
  <c r="F524" s="1"/>
  <c r="U524" s="1"/>
  <c r="U526"/>
  <c r="E513"/>
  <c r="T513" s="1"/>
  <c r="T514"/>
  <c r="E496"/>
  <c r="E495" s="1"/>
  <c r="T495" s="1"/>
  <c r="T497"/>
  <c r="E489"/>
  <c r="T489" s="1"/>
  <c r="T490"/>
  <c r="E483"/>
  <c r="E482" s="1"/>
  <c r="T482" s="1"/>
  <c r="T484"/>
  <c r="E475"/>
  <c r="T475" s="1"/>
  <c r="T476"/>
  <c r="E468"/>
  <c r="T468" s="1"/>
  <c r="T469"/>
  <c r="T455"/>
  <c r="T456"/>
  <c r="F427"/>
  <c r="F426" s="1"/>
  <c r="U426" s="1"/>
  <c r="U428"/>
  <c r="F412"/>
  <c r="U412" s="1"/>
  <c r="U413"/>
  <c r="F407"/>
  <c r="U407" s="1"/>
  <c r="U408"/>
  <c r="F394"/>
  <c r="U394" s="1"/>
  <c r="U395"/>
  <c r="E388"/>
  <c r="T388" s="1"/>
  <c r="T389"/>
  <c r="F371"/>
  <c r="U371" s="1"/>
  <c r="U372"/>
  <c r="F340"/>
  <c r="U340" s="1"/>
  <c r="U341"/>
  <c r="F309"/>
  <c r="U309" s="1"/>
  <c r="U310"/>
  <c r="E299"/>
  <c r="T299" s="1"/>
  <c r="T300"/>
  <c r="E293"/>
  <c r="T293" s="1"/>
  <c r="T294"/>
  <c r="E274"/>
  <c r="T274" s="1"/>
  <c r="T275"/>
  <c r="T255"/>
  <c r="F244"/>
  <c r="U244" s="1"/>
  <c r="U245"/>
  <c r="F227"/>
  <c r="U227" s="1"/>
  <c r="U228"/>
  <c r="E215"/>
  <c r="E214" s="1"/>
  <c r="T214" s="1"/>
  <c r="T216"/>
  <c r="E209"/>
  <c r="T209" s="1"/>
  <c r="T210"/>
  <c r="E200"/>
  <c r="T200" s="1"/>
  <c r="T201"/>
  <c r="E196"/>
  <c r="T196" s="1"/>
  <c r="T197"/>
  <c r="E192"/>
  <c r="T192" s="1"/>
  <c r="T193"/>
  <c r="E188"/>
  <c r="T188" s="1"/>
  <c r="T189"/>
  <c r="E184"/>
  <c r="T184" s="1"/>
  <c r="T185"/>
  <c r="E180"/>
  <c r="T180" s="1"/>
  <c r="T181"/>
  <c r="E176"/>
  <c r="T176" s="1"/>
  <c r="T177"/>
  <c r="E169"/>
  <c r="T169" s="1"/>
  <c r="T170"/>
  <c r="E152"/>
  <c r="T152" s="1"/>
  <c r="T153"/>
  <c r="E121"/>
  <c r="T121" s="1"/>
  <c r="T122"/>
  <c r="E108"/>
  <c r="T108" s="1"/>
  <c r="T109"/>
  <c r="E77"/>
  <c r="T77" s="1"/>
  <c r="T78"/>
  <c r="E72"/>
  <c r="T72" s="1"/>
  <c r="T73"/>
  <c r="E66"/>
  <c r="T66" s="1"/>
  <c r="T67"/>
  <c r="E34"/>
  <c r="T34" s="1"/>
  <c r="T35"/>
  <c r="E888"/>
  <c r="T888" s="1"/>
  <c r="T889"/>
  <c r="F829"/>
  <c r="U829" s="1"/>
  <c r="U830"/>
  <c r="F886"/>
  <c r="U886" s="1"/>
  <c r="U887"/>
  <c r="F882"/>
  <c r="U882" s="1"/>
  <c r="U883"/>
  <c r="F872"/>
  <c r="U873"/>
  <c r="F845"/>
  <c r="U845" s="1"/>
  <c r="U846"/>
  <c r="F835"/>
  <c r="U835" s="1"/>
  <c r="U836"/>
  <c r="E829"/>
  <c r="T829" s="1"/>
  <c r="T830"/>
  <c r="F764"/>
  <c r="U764" s="1"/>
  <c r="U765"/>
  <c r="E712"/>
  <c r="T712" s="1"/>
  <c r="T713"/>
  <c r="F703"/>
  <c r="U703" s="1"/>
  <c r="U704"/>
  <c r="E685"/>
  <c r="T685" s="1"/>
  <c r="T686"/>
  <c r="E680"/>
  <c r="T680" s="1"/>
  <c r="T681"/>
  <c r="E657"/>
  <c r="T657" s="1"/>
  <c r="T658"/>
  <c r="E649"/>
  <c r="T649" s="1"/>
  <c r="T650"/>
  <c r="E641"/>
  <c r="T641" s="1"/>
  <c r="T642"/>
  <c r="T636"/>
  <c r="E625"/>
  <c r="E624" s="1"/>
  <c r="T624" s="1"/>
  <c r="T626"/>
  <c r="E616"/>
  <c r="T616" s="1"/>
  <c r="T617"/>
  <c r="F578"/>
  <c r="U578" s="1"/>
  <c r="U579"/>
  <c r="E528"/>
  <c r="T528" s="1"/>
  <c r="T529"/>
  <c r="F513"/>
  <c r="U513" s="1"/>
  <c r="U514"/>
  <c r="F496"/>
  <c r="U496" s="1"/>
  <c r="U497"/>
  <c r="F489"/>
  <c r="U489" s="1"/>
  <c r="U490"/>
  <c r="F483"/>
  <c r="U483" s="1"/>
  <c r="U484"/>
  <c r="F475"/>
  <c r="F474" s="1"/>
  <c r="U474" s="1"/>
  <c r="U476"/>
  <c r="F468"/>
  <c r="U468" s="1"/>
  <c r="U469"/>
  <c r="F455"/>
  <c r="F454" s="1"/>
  <c r="U454" s="1"/>
  <c r="U456"/>
  <c r="E446"/>
  <c r="T446" s="1"/>
  <c r="T447"/>
  <c r="E436"/>
  <c r="E435" s="1"/>
  <c r="T437"/>
  <c r="E418"/>
  <c r="T418" s="1"/>
  <c r="T419"/>
  <c r="E410"/>
  <c r="T410" s="1"/>
  <c r="T411"/>
  <c r="E404"/>
  <c r="T404" s="1"/>
  <c r="T405"/>
  <c r="F388"/>
  <c r="U388" s="1"/>
  <c r="U389"/>
  <c r="E365"/>
  <c r="T365" s="1"/>
  <c r="T366"/>
  <c r="E321"/>
  <c r="E320" s="1"/>
  <c r="T320" s="1"/>
  <c r="T322"/>
  <c r="E305"/>
  <c r="T305" s="1"/>
  <c r="T306"/>
  <c r="F293"/>
  <c r="U293" s="1"/>
  <c r="U294"/>
  <c r="F274"/>
  <c r="U274" s="1"/>
  <c r="U275"/>
  <c r="F254"/>
  <c r="U254" s="1"/>
  <c r="F248"/>
  <c r="U248" s="1"/>
  <c r="U249"/>
  <c r="E236"/>
  <c r="E235" s="1"/>
  <c r="T235" s="1"/>
  <c r="T237"/>
  <c r="F215"/>
  <c r="U215" s="1"/>
  <c r="U216"/>
  <c r="F209"/>
  <c r="U209" s="1"/>
  <c r="U210"/>
  <c r="F200"/>
  <c r="U200" s="1"/>
  <c r="U201"/>
  <c r="F196"/>
  <c r="U196" s="1"/>
  <c r="U197"/>
  <c r="F192"/>
  <c r="U192" s="1"/>
  <c r="U193"/>
  <c r="F188"/>
  <c r="U188" s="1"/>
  <c r="U189"/>
  <c r="F184"/>
  <c r="U184" s="1"/>
  <c r="U185"/>
  <c r="F180"/>
  <c r="U180" s="1"/>
  <c r="U181"/>
  <c r="F176"/>
  <c r="U176" s="1"/>
  <c r="U177"/>
  <c r="F169"/>
  <c r="U169" s="1"/>
  <c r="U170"/>
  <c r="F152"/>
  <c r="U152" s="1"/>
  <c r="U153"/>
  <c r="F121"/>
  <c r="U121" s="1"/>
  <c r="U122"/>
  <c r="F108"/>
  <c r="U108" s="1"/>
  <c r="U109"/>
  <c r="E98"/>
  <c r="T98" s="1"/>
  <c r="F77"/>
  <c r="U77" s="1"/>
  <c r="U78"/>
  <c r="F72"/>
  <c r="U72" s="1"/>
  <c r="U73"/>
  <c r="F66"/>
  <c r="U66" s="1"/>
  <c r="U67"/>
  <c r="F34"/>
  <c r="U34" s="1"/>
  <c r="U35"/>
  <c r="F240"/>
  <c r="U240" s="1"/>
  <c r="U241"/>
  <c r="E748"/>
  <c r="T748" s="1"/>
  <c r="T749"/>
  <c r="F712"/>
  <c r="U712" s="1"/>
  <c r="U713"/>
  <c r="F685"/>
  <c r="U685" s="1"/>
  <c r="U686"/>
  <c r="F680"/>
  <c r="U680" s="1"/>
  <c r="U681"/>
  <c r="F657"/>
  <c r="U657" s="1"/>
  <c r="U658"/>
  <c r="F649"/>
  <c r="U649" s="1"/>
  <c r="U650"/>
  <c r="F641"/>
  <c r="F640" s="1"/>
  <c r="U640" s="1"/>
  <c r="U642"/>
  <c r="U636"/>
  <c r="F625"/>
  <c r="F624" s="1"/>
  <c r="U624" s="1"/>
  <c r="U626"/>
  <c r="F616"/>
  <c r="U616" s="1"/>
  <c r="U617"/>
  <c r="E587"/>
  <c r="T587" s="1"/>
  <c r="T588"/>
  <c r="E572"/>
  <c r="T572" s="1"/>
  <c r="T573"/>
  <c r="E564"/>
  <c r="E563" s="1"/>
  <c r="T563" s="1"/>
  <c r="T565"/>
  <c r="F528"/>
  <c r="U528" s="1"/>
  <c r="U529"/>
  <c r="F519"/>
  <c r="F518" s="1"/>
  <c r="U518" s="1"/>
  <c r="U520"/>
  <c r="E510"/>
  <c r="T510" s="1"/>
  <c r="T511"/>
  <c r="E499"/>
  <c r="E498" s="1"/>
  <c r="T498" s="1"/>
  <c r="T500"/>
  <c r="E493"/>
  <c r="T493" s="1"/>
  <c r="T494"/>
  <c r="E487"/>
  <c r="T487" s="1"/>
  <c r="T488"/>
  <c r="E480"/>
  <c r="T480" s="1"/>
  <c r="T481"/>
  <c r="E472"/>
  <c r="T472" s="1"/>
  <c r="T473"/>
  <c r="E461"/>
  <c r="T461" s="1"/>
  <c r="T462"/>
  <c r="F446"/>
  <c r="U446" s="1"/>
  <c r="U447"/>
  <c r="F436"/>
  <c r="U436" s="1"/>
  <c r="U437"/>
  <c r="F418"/>
  <c r="F417" s="1"/>
  <c r="U417" s="1"/>
  <c r="U419"/>
  <c r="F410"/>
  <c r="U410" s="1"/>
  <c r="U411"/>
  <c r="F404"/>
  <c r="F403" s="1"/>
  <c r="U403" s="1"/>
  <c r="U405"/>
  <c r="E391"/>
  <c r="T391" s="1"/>
  <c r="T392"/>
  <c r="E385"/>
  <c r="T385" s="1"/>
  <c r="T386"/>
  <c r="F365"/>
  <c r="U365" s="1"/>
  <c r="U366"/>
  <c r="F321"/>
  <c r="U321" s="1"/>
  <c r="U322"/>
  <c r="F305"/>
  <c r="U305" s="1"/>
  <c r="U306"/>
  <c r="E295"/>
  <c r="T295" s="1"/>
  <c r="T296"/>
  <c r="E291"/>
  <c r="T291" s="1"/>
  <c r="T292"/>
  <c r="E280"/>
  <c r="E279" s="1"/>
  <c r="T279" s="1"/>
  <c r="T281"/>
  <c r="E268"/>
  <c r="T268" s="1"/>
  <c r="T269"/>
  <c r="F236"/>
  <c r="F235" s="1"/>
  <c r="U235" s="1"/>
  <c r="U237"/>
  <c r="E218"/>
  <c r="T218" s="1"/>
  <c r="T219"/>
  <c r="E212"/>
  <c r="E211" s="1"/>
  <c r="T211" s="1"/>
  <c r="T213"/>
  <c r="E203"/>
  <c r="T203" s="1"/>
  <c r="T204"/>
  <c r="E198"/>
  <c r="T198" s="1"/>
  <c r="T199"/>
  <c r="E194"/>
  <c r="T194" s="1"/>
  <c r="T195"/>
  <c r="E190"/>
  <c r="T190" s="1"/>
  <c r="T191"/>
  <c r="E186"/>
  <c r="T186" s="1"/>
  <c r="T187"/>
  <c r="E182"/>
  <c r="T182" s="1"/>
  <c r="T183"/>
  <c r="E178"/>
  <c r="T178" s="1"/>
  <c r="T179"/>
  <c r="E172"/>
  <c r="T172" s="1"/>
  <c r="T173"/>
  <c r="E158"/>
  <c r="T158" s="1"/>
  <c r="T159"/>
  <c r="E150"/>
  <c r="T150" s="1"/>
  <c r="T151"/>
  <c r="U99"/>
  <c r="E75"/>
  <c r="T75" s="1"/>
  <c r="T76"/>
  <c r="E68"/>
  <c r="T68" s="1"/>
  <c r="T69"/>
  <c r="E32"/>
  <c r="T32" s="1"/>
  <c r="T33"/>
  <c r="F671"/>
  <c r="U671" s="1"/>
  <c r="U672"/>
  <c r="E671"/>
  <c r="T671" s="1"/>
  <c r="T672"/>
  <c r="U63"/>
  <c r="U64"/>
  <c r="E454"/>
  <c r="T454" s="1"/>
  <c r="G98"/>
  <c r="V98" s="1"/>
  <c r="V99"/>
  <c r="F378"/>
  <c r="U378" s="1"/>
  <c r="U379"/>
  <c r="E374"/>
  <c r="T374" s="1"/>
  <c r="T375"/>
  <c r="T99"/>
  <c r="T534"/>
  <c r="F374"/>
  <c r="U375"/>
  <c r="F61"/>
  <c r="U61" s="1"/>
  <c r="U62"/>
  <c r="E22" i="35"/>
  <c r="H27" i="33"/>
  <c r="E567" i="17"/>
  <c r="F361"/>
  <c r="F166"/>
  <c r="U166" s="1"/>
  <c r="F160"/>
  <c r="U160" s="1"/>
  <c r="F144"/>
  <c r="U144" s="1"/>
  <c r="E163"/>
  <c r="T163" s="1"/>
  <c r="E147"/>
  <c r="T147" s="1"/>
  <c r="F39"/>
  <c r="U39" s="1"/>
  <c r="F138"/>
  <c r="U138" s="1"/>
  <c r="F132"/>
  <c r="U132" s="1"/>
  <c r="F126"/>
  <c r="U126" s="1"/>
  <c r="F54"/>
  <c r="E28"/>
  <c r="T28" s="1"/>
  <c r="E138"/>
  <c r="T138" s="1"/>
  <c r="F673"/>
  <c r="U673" s="1"/>
  <c r="E361"/>
  <c r="F155"/>
  <c r="U155" s="1"/>
  <c r="E129"/>
  <c r="T129" s="1"/>
  <c r="E114"/>
  <c r="T114" s="1"/>
  <c r="E141"/>
  <c r="T141" s="1"/>
  <c r="F890"/>
  <c r="U890" s="1"/>
  <c r="F537"/>
  <c r="U537" s="1"/>
  <c r="E464"/>
  <c r="F464"/>
  <c r="E838"/>
  <c r="F792"/>
  <c r="U792" s="1"/>
  <c r="E677"/>
  <c r="T677" s="1"/>
  <c r="F543"/>
  <c r="E155"/>
  <c r="T155" s="1"/>
  <c r="F43"/>
  <c r="F838"/>
  <c r="F806"/>
  <c r="U806" s="1"/>
  <c r="F677"/>
  <c r="U677" s="1"/>
  <c r="E543"/>
  <c r="E537"/>
  <c r="T537" s="1"/>
  <c r="E135"/>
  <c r="T135" s="1"/>
  <c r="E123"/>
  <c r="T123" s="1"/>
  <c r="F114"/>
  <c r="U114" s="1"/>
  <c r="E43"/>
  <c r="E24"/>
  <c r="T24" s="1"/>
  <c r="E10"/>
  <c r="E117"/>
  <c r="T117" s="1"/>
  <c r="F831"/>
  <c r="U831" s="1"/>
  <c r="F753"/>
  <c r="U753" s="1"/>
  <c r="F567"/>
  <c r="E160"/>
  <c r="T160" s="1"/>
  <c r="E144"/>
  <c r="T144" s="1"/>
  <c r="F135"/>
  <c r="U135" s="1"/>
  <c r="F129"/>
  <c r="U129" s="1"/>
  <c r="F17"/>
  <c r="U17" s="1"/>
  <c r="E806"/>
  <c r="T806" s="1"/>
  <c r="E792"/>
  <c r="T792" s="1"/>
  <c r="E778"/>
  <c r="T778" s="1"/>
  <c r="E766"/>
  <c r="T766" s="1"/>
  <c r="E750"/>
  <c r="T750" s="1"/>
  <c r="E673"/>
  <c r="T673" s="1"/>
  <c r="F147"/>
  <c r="U147" s="1"/>
  <c r="F141"/>
  <c r="U141" s="1"/>
  <c r="E39"/>
  <c r="T39" s="1"/>
  <c r="E17"/>
  <c r="T17" s="1"/>
  <c r="F778"/>
  <c r="U778" s="1"/>
  <c r="F766"/>
  <c r="U766" s="1"/>
  <c r="F750"/>
  <c r="U750" s="1"/>
  <c r="E126"/>
  <c r="T126" s="1"/>
  <c r="E753"/>
  <c r="T753" s="1"/>
  <c r="E744"/>
  <c r="T744" s="1"/>
  <c r="E132"/>
  <c r="T132" s="1"/>
  <c r="F123"/>
  <c r="U123" s="1"/>
  <c r="F760"/>
  <c r="U760" s="1"/>
  <c r="E554"/>
  <c r="E166"/>
  <c r="T166" s="1"/>
  <c r="F163"/>
  <c r="U163" s="1"/>
  <c r="F117"/>
  <c r="U117" s="1"/>
  <c r="F24"/>
  <c r="U24" s="1"/>
  <c r="E760"/>
  <c r="T760" s="1"/>
  <c r="F28"/>
  <c r="U28" s="1"/>
  <c r="F10"/>
  <c r="F554"/>
  <c r="G389"/>
  <c r="V389" s="1"/>
  <c r="G78"/>
  <c r="G885"/>
  <c r="G887"/>
  <c r="G60"/>
  <c r="V60" s="1"/>
  <c r="G41"/>
  <c r="V41" s="1"/>
  <c r="G40"/>
  <c r="V40" s="1"/>
  <c r="G13"/>
  <c r="V13" s="1"/>
  <c r="G374"/>
  <c r="J214" i="11"/>
  <c r="I214"/>
  <c r="F701" i="17" s="1"/>
  <c r="U701" s="1"/>
  <c r="J215" i="11"/>
  <c r="I215"/>
  <c r="F702" i="17" s="1"/>
  <c r="U702" s="1"/>
  <c r="H215" i="11"/>
  <c r="E702" i="17" s="1"/>
  <c r="T702" s="1"/>
  <c r="H214" i="11"/>
  <c r="E701" i="17" s="1"/>
  <c r="T701" s="1"/>
  <c r="J184" i="11"/>
  <c r="I184"/>
  <c r="F692" i="17" s="1"/>
  <c r="U692" s="1"/>
  <c r="H184" i="11"/>
  <c r="E692" i="17" s="1"/>
  <c r="T692" s="1"/>
  <c r="J183" i="11"/>
  <c r="I183"/>
  <c r="F691" i="17" s="1"/>
  <c r="U691" s="1"/>
  <c r="H183" i="11"/>
  <c r="E691" i="17" s="1"/>
  <c r="T691" s="1"/>
  <c r="G379"/>
  <c r="F308"/>
  <c r="G308"/>
  <c r="E308"/>
  <c r="E249"/>
  <c r="I468" i="11"/>
  <c r="J468"/>
  <c r="N468" s="1"/>
  <c r="H468"/>
  <c r="G9" i="33"/>
  <c r="E59" i="17"/>
  <c r="I7" i="33"/>
  <c r="J1374" i="11"/>
  <c r="J1373"/>
  <c r="I1373"/>
  <c r="F860" i="17" s="1"/>
  <c r="U860" s="1"/>
  <c r="J1376" i="11"/>
  <c r="I1376"/>
  <c r="F863" i="17" s="1"/>
  <c r="J1381" i="11"/>
  <c r="I1381"/>
  <c r="F868" i="17" s="1"/>
  <c r="H1381" i="11"/>
  <c r="E868" i="17" s="1"/>
  <c r="H1376" i="11"/>
  <c r="E863" i="17" s="1"/>
  <c r="E860"/>
  <c r="T860" s="1"/>
  <c r="J1372" i="11"/>
  <c r="I1372"/>
  <c r="F859" i="17" s="1"/>
  <c r="U859" s="1"/>
  <c r="J1379" i="11"/>
  <c r="I1379"/>
  <c r="F866" i="17" s="1"/>
  <c r="H1379" i="11"/>
  <c r="E866" i="17" s="1"/>
  <c r="H1372" i="11"/>
  <c r="E859" i="17" s="1"/>
  <c r="T859" s="1"/>
  <c r="G372"/>
  <c r="G617"/>
  <c r="V617" s="1"/>
  <c r="G561"/>
  <c r="V561" s="1"/>
  <c r="I618" i="11"/>
  <c r="J618"/>
  <c r="U10" i="17" l="1"/>
  <c r="T10"/>
  <c r="F171"/>
  <c r="U171" s="1"/>
  <c r="E226"/>
  <c r="T226" s="1"/>
  <c r="T496"/>
  <c r="E586"/>
  <c r="T586" s="1"/>
  <c r="U255"/>
  <c r="T427"/>
  <c r="T739"/>
  <c r="U475"/>
  <c r="E618"/>
  <c r="T618" s="1"/>
  <c r="E387"/>
  <c r="T387" s="1"/>
  <c r="U662"/>
  <c r="E637"/>
  <c r="T637" s="1"/>
  <c r="T407"/>
  <c r="T662"/>
  <c r="F387"/>
  <c r="U387" s="1"/>
  <c r="U510"/>
  <c r="T215"/>
  <c r="E577"/>
  <c r="T577" s="1"/>
  <c r="U572"/>
  <c r="U493"/>
  <c r="T625"/>
  <c r="U418"/>
  <c r="U519"/>
  <c r="E471"/>
  <c r="T471" s="1"/>
  <c r="T564"/>
  <c r="U641"/>
  <c r="F208"/>
  <c r="U208" s="1"/>
  <c r="T321"/>
  <c r="U455"/>
  <c r="F512"/>
  <c r="U512" s="1"/>
  <c r="E640"/>
  <c r="T640" s="1"/>
  <c r="E273"/>
  <c r="T273" s="1"/>
  <c r="U427"/>
  <c r="E467"/>
  <c r="T467" s="1"/>
  <c r="U525"/>
  <c r="U638"/>
  <c r="F738"/>
  <c r="U738" s="1"/>
  <c r="F211"/>
  <c r="U211" s="1"/>
  <c r="U625"/>
  <c r="T436"/>
  <c r="F384"/>
  <c r="U384" s="1"/>
  <c r="F406"/>
  <c r="U406" s="1"/>
  <c r="U619"/>
  <c r="T499"/>
  <c r="T236"/>
  <c r="F577"/>
  <c r="U577" s="1"/>
  <c r="E107"/>
  <c r="T107" s="1"/>
  <c r="T483"/>
  <c r="U461"/>
  <c r="E384"/>
  <c r="T384" s="1"/>
  <c r="T280"/>
  <c r="U404"/>
  <c r="F320"/>
  <c r="U320" s="1"/>
  <c r="U872"/>
  <c r="T843"/>
  <c r="E837"/>
  <c r="T837" s="1"/>
  <c r="T872"/>
  <c r="T240"/>
  <c r="U236"/>
  <c r="F482"/>
  <c r="U482" s="1"/>
  <c r="E524"/>
  <c r="T524" s="1"/>
  <c r="T212"/>
  <c r="E171"/>
  <c r="T171" s="1"/>
  <c r="F409"/>
  <c r="U409" s="1"/>
  <c r="F175"/>
  <c r="U175" s="1"/>
  <c r="E202"/>
  <c r="T202" s="1"/>
  <c r="E403"/>
  <c r="T403" s="1"/>
  <c r="E217"/>
  <c r="T217" s="1"/>
  <c r="F435"/>
  <c r="U435" s="1"/>
  <c r="F471"/>
  <c r="U471" s="1"/>
  <c r="F563"/>
  <c r="U563" s="1"/>
  <c r="F364"/>
  <c r="U364" s="1"/>
  <c r="F217"/>
  <c r="U217" s="1"/>
  <c r="F498"/>
  <c r="U498" s="1"/>
  <c r="F273"/>
  <c r="U273" s="1"/>
  <c r="E208"/>
  <c r="T208" s="1"/>
  <c r="F586"/>
  <c r="U586" s="1"/>
  <c r="E364"/>
  <c r="T364" s="1"/>
  <c r="F467"/>
  <c r="U467" s="1"/>
  <c r="F226"/>
  <c r="U226" s="1"/>
  <c r="E474"/>
  <c r="T474" s="1"/>
  <c r="F390"/>
  <c r="U390" s="1"/>
  <c r="F74"/>
  <c r="U74" s="1"/>
  <c r="E248"/>
  <c r="T248" s="1"/>
  <c r="T249"/>
  <c r="G77"/>
  <c r="V77" s="1"/>
  <c r="V78"/>
  <c r="G371"/>
  <c r="V371" s="1"/>
  <c r="V372"/>
  <c r="E862"/>
  <c r="T862" s="1"/>
  <c r="T863"/>
  <c r="F862"/>
  <c r="U862" s="1"/>
  <c r="U863"/>
  <c r="F307"/>
  <c r="U307" s="1"/>
  <c r="U308"/>
  <c r="G884"/>
  <c r="V884" s="1"/>
  <c r="V885"/>
  <c r="F682"/>
  <c r="U682" s="1"/>
  <c r="E74"/>
  <c r="T74" s="1"/>
  <c r="F865"/>
  <c r="U865" s="1"/>
  <c r="U866"/>
  <c r="E58"/>
  <c r="T58" s="1"/>
  <c r="T59"/>
  <c r="G886"/>
  <c r="V886" s="1"/>
  <c r="V887"/>
  <c r="E409"/>
  <c r="T409" s="1"/>
  <c r="F98"/>
  <c r="U98" s="1"/>
  <c r="E390"/>
  <c r="T390" s="1"/>
  <c r="E460"/>
  <c r="T460" s="1"/>
  <c r="E492"/>
  <c r="T492" s="1"/>
  <c r="E509"/>
  <c r="F527"/>
  <c r="U527" s="1"/>
  <c r="E571"/>
  <c r="T571" s="1"/>
  <c r="F615"/>
  <c r="U615" s="1"/>
  <c r="F635"/>
  <c r="U635" s="1"/>
  <c r="F202"/>
  <c r="U202" s="1"/>
  <c r="E370"/>
  <c r="T370" s="1"/>
  <c r="E627"/>
  <c r="T627" s="1"/>
  <c r="F107"/>
  <c r="F106" s="1"/>
  <c r="F214"/>
  <c r="U214" s="1"/>
  <c r="E417"/>
  <c r="T417" s="1"/>
  <c r="F495"/>
  <c r="U495" s="1"/>
  <c r="E527"/>
  <c r="T527" s="1"/>
  <c r="E615"/>
  <c r="E635"/>
  <c r="T635" s="1"/>
  <c r="E254"/>
  <c r="T254" s="1"/>
  <c r="F370"/>
  <c r="U370" s="1"/>
  <c r="F393"/>
  <c r="U393" s="1"/>
  <c r="E512"/>
  <c r="T512" s="1"/>
  <c r="F533"/>
  <c r="U533" s="1"/>
  <c r="F605"/>
  <c r="U605" s="1"/>
  <c r="F627"/>
  <c r="F279"/>
  <c r="U279" s="1"/>
  <c r="E867"/>
  <c r="T867" s="1"/>
  <c r="T868"/>
  <c r="E865"/>
  <c r="T865" s="1"/>
  <c r="T866"/>
  <c r="F867"/>
  <c r="U867" s="1"/>
  <c r="U868"/>
  <c r="E307"/>
  <c r="T307" s="1"/>
  <c r="T308"/>
  <c r="F486"/>
  <c r="F485" s="1"/>
  <c r="U485" s="1"/>
  <c r="E682"/>
  <c r="T682" s="1"/>
  <c r="E486"/>
  <c r="E485" s="1"/>
  <c r="T485" s="1"/>
  <c r="E175"/>
  <c r="T175" s="1"/>
  <c r="E463"/>
  <c r="T464"/>
  <c r="G378"/>
  <c r="V378" s="1"/>
  <c r="V379"/>
  <c r="F566"/>
  <c r="U567"/>
  <c r="F837"/>
  <c r="U837" s="1"/>
  <c r="U838"/>
  <c r="F542"/>
  <c r="U542" s="1"/>
  <c r="U543"/>
  <c r="F463"/>
  <c r="U464"/>
  <c r="U93"/>
  <c r="E102"/>
  <c r="T102" s="1"/>
  <c r="T103"/>
  <c r="F53"/>
  <c r="U53" s="1"/>
  <c r="U54"/>
  <c r="E566"/>
  <c r="T567"/>
  <c r="F42"/>
  <c r="U42" s="1"/>
  <c r="U43"/>
  <c r="E42"/>
  <c r="T42" s="1"/>
  <c r="T43"/>
  <c r="T838"/>
  <c r="F360"/>
  <c r="U360" s="1"/>
  <c r="U361"/>
  <c r="F373"/>
  <c r="U373" s="1"/>
  <c r="U374"/>
  <c r="G373"/>
  <c r="V373" s="1"/>
  <c r="V374"/>
  <c r="E542"/>
  <c r="T542" s="1"/>
  <c r="T543"/>
  <c r="E434"/>
  <c r="T435"/>
  <c r="F553"/>
  <c r="U553" s="1"/>
  <c r="U554"/>
  <c r="E553"/>
  <c r="T553" s="1"/>
  <c r="T554"/>
  <c r="E100"/>
  <c r="T100" s="1"/>
  <c r="T101"/>
  <c r="E360"/>
  <c r="T360" s="1"/>
  <c r="T361"/>
  <c r="E380"/>
  <c r="T380" s="1"/>
  <c r="D51" i="35"/>
  <c r="D50" s="1"/>
  <c r="D49" s="1"/>
  <c r="D41" s="1"/>
  <c r="G8" i="33"/>
  <c r="F690" i="17"/>
  <c r="U690" s="1"/>
  <c r="E690"/>
  <c r="T690" s="1"/>
  <c r="F759"/>
  <c r="E113"/>
  <c r="T113" s="1"/>
  <c r="F113"/>
  <c r="U113" s="1"/>
  <c r="F154"/>
  <c r="U154" s="1"/>
  <c r="E759"/>
  <c r="E154"/>
  <c r="T154" s="1"/>
  <c r="E743"/>
  <c r="G39"/>
  <c r="V39" s="1"/>
  <c r="E253"/>
  <c r="G11"/>
  <c r="V11" s="1"/>
  <c r="G12"/>
  <c r="V12" s="1"/>
  <c r="G15"/>
  <c r="V15" s="1"/>
  <c r="G18"/>
  <c r="V18" s="1"/>
  <c r="G19"/>
  <c r="V19" s="1"/>
  <c r="G20"/>
  <c r="V20" s="1"/>
  <c r="G21"/>
  <c r="V21" s="1"/>
  <c r="G22"/>
  <c r="V22" s="1"/>
  <c r="G25"/>
  <c r="V25" s="1"/>
  <c r="G26"/>
  <c r="V26" s="1"/>
  <c r="G27"/>
  <c r="V27" s="1"/>
  <c r="G29"/>
  <c r="V29" s="1"/>
  <c r="G30"/>
  <c r="V30" s="1"/>
  <c r="G31"/>
  <c r="V31" s="1"/>
  <c r="G33"/>
  <c r="G35"/>
  <c r="G44"/>
  <c r="V44" s="1"/>
  <c r="G45"/>
  <c r="V45" s="1"/>
  <c r="G55"/>
  <c r="V55" s="1"/>
  <c r="G56"/>
  <c r="V56" s="1"/>
  <c r="G67"/>
  <c r="G69"/>
  <c r="G73"/>
  <c r="G76"/>
  <c r="V94"/>
  <c r="G109"/>
  <c r="G115"/>
  <c r="V115" s="1"/>
  <c r="G116"/>
  <c r="V116" s="1"/>
  <c r="G118"/>
  <c r="V118" s="1"/>
  <c r="G119"/>
  <c r="V119" s="1"/>
  <c r="G120"/>
  <c r="V120" s="1"/>
  <c r="G122"/>
  <c r="G124"/>
  <c r="V124" s="1"/>
  <c r="G125"/>
  <c r="V125" s="1"/>
  <c r="G127"/>
  <c r="V127" s="1"/>
  <c r="G128"/>
  <c r="V128" s="1"/>
  <c r="G130"/>
  <c r="V130" s="1"/>
  <c r="G131"/>
  <c r="V131" s="1"/>
  <c r="G133"/>
  <c r="V133" s="1"/>
  <c r="G134"/>
  <c r="V134" s="1"/>
  <c r="G136"/>
  <c r="V136" s="1"/>
  <c r="G137"/>
  <c r="V137" s="1"/>
  <c r="G139"/>
  <c r="V139" s="1"/>
  <c r="G140"/>
  <c r="V140" s="1"/>
  <c r="G142"/>
  <c r="V142" s="1"/>
  <c r="G143"/>
  <c r="V143" s="1"/>
  <c r="G145"/>
  <c r="V145" s="1"/>
  <c r="G146"/>
  <c r="V146" s="1"/>
  <c r="G148"/>
  <c r="V148" s="1"/>
  <c r="G149"/>
  <c r="V149" s="1"/>
  <c r="G151"/>
  <c r="G153"/>
  <c r="G156"/>
  <c r="V156" s="1"/>
  <c r="G157"/>
  <c r="V157" s="1"/>
  <c r="G159"/>
  <c r="G161"/>
  <c r="V161" s="1"/>
  <c r="G162"/>
  <c r="V162" s="1"/>
  <c r="G164"/>
  <c r="V164" s="1"/>
  <c r="G165"/>
  <c r="V165" s="1"/>
  <c r="G167"/>
  <c r="V167" s="1"/>
  <c r="G168"/>
  <c r="V168" s="1"/>
  <c r="G170"/>
  <c r="G173"/>
  <c r="G177"/>
  <c r="G179"/>
  <c r="G181"/>
  <c r="G183"/>
  <c r="G185"/>
  <c r="G187"/>
  <c r="G189"/>
  <c r="G191"/>
  <c r="G193"/>
  <c r="G195"/>
  <c r="G197"/>
  <c r="G199"/>
  <c r="G201"/>
  <c r="G204"/>
  <c r="G210"/>
  <c r="G213"/>
  <c r="G216"/>
  <c r="G219"/>
  <c r="G224"/>
  <c r="V224" s="1"/>
  <c r="G225"/>
  <c r="V225" s="1"/>
  <c r="G228"/>
  <c r="G237"/>
  <c r="G240"/>
  <c r="V240" s="1"/>
  <c r="G245"/>
  <c r="G249"/>
  <c r="G269"/>
  <c r="G275"/>
  <c r="G281"/>
  <c r="G290"/>
  <c r="V290" s="1"/>
  <c r="G292"/>
  <c r="G294"/>
  <c r="G296"/>
  <c r="G306"/>
  <c r="G310"/>
  <c r="G322"/>
  <c r="G338"/>
  <c r="V338" s="1"/>
  <c r="G339"/>
  <c r="V339" s="1"/>
  <c r="G341"/>
  <c r="G359"/>
  <c r="V359" s="1"/>
  <c r="G362"/>
  <c r="V362" s="1"/>
  <c r="G363"/>
  <c r="V363" s="1"/>
  <c r="G366"/>
  <c r="G386"/>
  <c r="G388"/>
  <c r="G392"/>
  <c r="G395"/>
  <c r="G405"/>
  <c r="G408"/>
  <c r="G411"/>
  <c r="G413"/>
  <c r="G419"/>
  <c r="G422"/>
  <c r="V422" s="1"/>
  <c r="G424"/>
  <c r="V424" s="1"/>
  <c r="G428"/>
  <c r="G437"/>
  <c r="G444"/>
  <c r="V444" s="1"/>
  <c r="G447"/>
  <c r="G449"/>
  <c r="G456"/>
  <c r="G462"/>
  <c r="G465"/>
  <c r="V465" s="1"/>
  <c r="G466"/>
  <c r="V466" s="1"/>
  <c r="G469"/>
  <c r="G473"/>
  <c r="G476"/>
  <c r="G481"/>
  <c r="G484"/>
  <c r="G488"/>
  <c r="G490"/>
  <c r="G494"/>
  <c r="G497"/>
  <c r="G500"/>
  <c r="G505"/>
  <c r="V505" s="1"/>
  <c r="G511"/>
  <c r="G514"/>
  <c r="G520"/>
  <c r="G526"/>
  <c r="G529"/>
  <c r="G535"/>
  <c r="G538"/>
  <c r="V538" s="1"/>
  <c r="G539"/>
  <c r="V539" s="1"/>
  <c r="G544"/>
  <c r="V544" s="1"/>
  <c r="G545"/>
  <c r="V545" s="1"/>
  <c r="G555"/>
  <c r="V555" s="1"/>
  <c r="G556"/>
  <c r="V556" s="1"/>
  <c r="G557"/>
  <c r="V557" s="1"/>
  <c r="G565"/>
  <c r="G568"/>
  <c r="V568" s="1"/>
  <c r="G569"/>
  <c r="V569" s="1"/>
  <c r="G570"/>
  <c r="V570" s="1"/>
  <c r="G573"/>
  <c r="G579"/>
  <c r="G582"/>
  <c r="V582" s="1"/>
  <c r="G584"/>
  <c r="V584" s="1"/>
  <c r="G588"/>
  <c r="V592"/>
  <c r="G598"/>
  <c r="V598" s="1"/>
  <c r="G607"/>
  <c r="G616"/>
  <c r="G620"/>
  <c r="G626"/>
  <c r="G629"/>
  <c r="G639"/>
  <c r="G642"/>
  <c r="G647"/>
  <c r="V647" s="1"/>
  <c r="G650"/>
  <c r="G653"/>
  <c r="G658"/>
  <c r="G663"/>
  <c r="G669"/>
  <c r="V669" s="1"/>
  <c r="G670"/>
  <c r="V670" s="1"/>
  <c r="G672"/>
  <c r="G674"/>
  <c r="V674" s="1"/>
  <c r="G675"/>
  <c r="V675" s="1"/>
  <c r="G676"/>
  <c r="V676" s="1"/>
  <c r="G678"/>
  <c r="V678" s="1"/>
  <c r="G679"/>
  <c r="V679" s="1"/>
  <c r="G681"/>
  <c r="G684"/>
  <c r="G686"/>
  <c r="G691"/>
  <c r="V691" s="1"/>
  <c r="G693"/>
  <c r="V693" s="1"/>
  <c r="G701"/>
  <c r="V701" s="1"/>
  <c r="G702"/>
  <c r="V702" s="1"/>
  <c r="G704"/>
  <c r="G709"/>
  <c r="V709" s="1"/>
  <c r="G711"/>
  <c r="V711" s="1"/>
  <c r="G713"/>
  <c r="G718"/>
  <c r="V718" s="1"/>
  <c r="G720"/>
  <c r="V720" s="1"/>
  <c r="G733"/>
  <c r="V733" s="1"/>
  <c r="G740"/>
  <c r="G745"/>
  <c r="V745" s="1"/>
  <c r="G747"/>
  <c r="V747" s="1"/>
  <c r="G749"/>
  <c r="G751"/>
  <c r="V751" s="1"/>
  <c r="G752"/>
  <c r="V752" s="1"/>
  <c r="G754"/>
  <c r="V754" s="1"/>
  <c r="G755"/>
  <c r="V755" s="1"/>
  <c r="G756"/>
  <c r="V756" s="1"/>
  <c r="G761"/>
  <c r="V761" s="1"/>
  <c r="G762"/>
  <c r="V762" s="1"/>
  <c r="G763"/>
  <c r="V763" s="1"/>
  <c r="G765"/>
  <c r="G767"/>
  <c r="V767" s="1"/>
  <c r="G768"/>
  <c r="V768" s="1"/>
  <c r="G773"/>
  <c r="V773" s="1"/>
  <c r="G775"/>
  <c r="V775" s="1"/>
  <c r="G779"/>
  <c r="V779" s="1"/>
  <c r="G780"/>
  <c r="V780" s="1"/>
  <c r="G782"/>
  <c r="G787"/>
  <c r="V787" s="1"/>
  <c r="G789"/>
  <c r="V789" s="1"/>
  <c r="G793"/>
  <c r="V793" s="1"/>
  <c r="G794"/>
  <c r="V794" s="1"/>
  <c r="G803"/>
  <c r="V803" s="1"/>
  <c r="G817"/>
  <c r="V817" s="1"/>
  <c r="G821"/>
  <c r="G826"/>
  <c r="V826" s="1"/>
  <c r="G828"/>
  <c r="V828" s="1"/>
  <c r="G830"/>
  <c r="G832"/>
  <c r="V832" s="1"/>
  <c r="G833"/>
  <c r="V833" s="1"/>
  <c r="G834"/>
  <c r="V834" s="1"/>
  <c r="G836"/>
  <c r="G839"/>
  <c r="V839" s="1"/>
  <c r="G840"/>
  <c r="V840" s="1"/>
  <c r="G844"/>
  <c r="G846"/>
  <c r="G851"/>
  <c r="V851" s="1"/>
  <c r="G866"/>
  <c r="G873"/>
  <c r="G877"/>
  <c r="G883"/>
  <c r="G891"/>
  <c r="V891" s="1"/>
  <c r="G892"/>
  <c r="V892" s="1"/>
  <c r="G895"/>
  <c r="V895" s="1"/>
  <c r="G89"/>
  <c r="E106" l="1"/>
  <c r="T106" s="1"/>
  <c r="F508"/>
  <c r="U508" s="1"/>
  <c r="F434"/>
  <c r="U434" s="1"/>
  <c r="T486"/>
  <c r="F634"/>
  <c r="F633" s="1"/>
  <c r="E623"/>
  <c r="E622" s="1"/>
  <c r="T622" s="1"/>
  <c r="E634"/>
  <c r="T634" s="1"/>
  <c r="F614"/>
  <c r="U614" s="1"/>
  <c r="U486"/>
  <c r="U107"/>
  <c r="G309"/>
  <c r="V309" s="1"/>
  <c r="V310"/>
  <c r="G88"/>
  <c r="V88" s="1"/>
  <c r="V89"/>
  <c r="G657"/>
  <c r="V657" s="1"/>
  <c r="V658"/>
  <c r="G483"/>
  <c r="V483" s="1"/>
  <c r="V484"/>
  <c r="G418"/>
  <c r="V418" s="1"/>
  <c r="V419"/>
  <c r="G236"/>
  <c r="G235" s="1"/>
  <c r="V235" s="1"/>
  <c r="V237"/>
  <c r="G72"/>
  <c r="V72" s="1"/>
  <c r="V73"/>
  <c r="U627"/>
  <c r="F623"/>
  <c r="T615"/>
  <c r="E614"/>
  <c r="G845"/>
  <c r="V845" s="1"/>
  <c r="V846"/>
  <c r="G703"/>
  <c r="V703" s="1"/>
  <c r="V704"/>
  <c r="G662"/>
  <c r="G661" s="1"/>
  <c r="V661" s="1"/>
  <c r="V663"/>
  <c r="G628"/>
  <c r="V628" s="1"/>
  <c r="V629"/>
  <c r="G606"/>
  <c r="V606" s="1"/>
  <c r="V607"/>
  <c r="G519"/>
  <c r="V519" s="1"/>
  <c r="V520"/>
  <c r="G499"/>
  <c r="G498" s="1"/>
  <c r="V498" s="1"/>
  <c r="V500"/>
  <c r="G487"/>
  <c r="V487" s="1"/>
  <c r="V488"/>
  <c r="G472"/>
  <c r="V472" s="1"/>
  <c r="V473"/>
  <c r="G461"/>
  <c r="G460" s="1"/>
  <c r="V460" s="1"/>
  <c r="V462"/>
  <c r="G407"/>
  <c r="V407" s="1"/>
  <c r="V408"/>
  <c r="G321"/>
  <c r="V321" s="1"/>
  <c r="V322"/>
  <c r="G295"/>
  <c r="V295" s="1"/>
  <c r="V296"/>
  <c r="G291"/>
  <c r="V291" s="1"/>
  <c r="V292"/>
  <c r="G268"/>
  <c r="V268" s="1"/>
  <c r="V269"/>
  <c r="G209"/>
  <c r="G208" s="1"/>
  <c r="V208" s="1"/>
  <c r="V210"/>
  <c r="G196"/>
  <c r="V196" s="1"/>
  <c r="V197"/>
  <c r="G188"/>
  <c r="V188" s="1"/>
  <c r="V189"/>
  <c r="G180"/>
  <c r="V180" s="1"/>
  <c r="V181"/>
  <c r="G169"/>
  <c r="V169" s="1"/>
  <c r="V170"/>
  <c r="G108"/>
  <c r="G107" s="1"/>
  <c r="V109"/>
  <c r="G75"/>
  <c r="V75" s="1"/>
  <c r="V76"/>
  <c r="F383"/>
  <c r="U383" s="1"/>
  <c r="F864"/>
  <c r="U864" s="1"/>
  <c r="G370"/>
  <c r="V370" s="1"/>
  <c r="G872"/>
  <c r="V873"/>
  <c r="G764"/>
  <c r="V764" s="1"/>
  <c r="V765"/>
  <c r="G712"/>
  <c r="V712" s="1"/>
  <c r="V713"/>
  <c r="G685"/>
  <c r="V685" s="1"/>
  <c r="V686"/>
  <c r="G641"/>
  <c r="G640" s="1"/>
  <c r="V640" s="1"/>
  <c r="V642"/>
  <c r="G513"/>
  <c r="G512" s="1"/>
  <c r="V512" s="1"/>
  <c r="V514"/>
  <c r="G468"/>
  <c r="G467" s="1"/>
  <c r="V467" s="1"/>
  <c r="V469"/>
  <c r="G436"/>
  <c r="V436" s="1"/>
  <c r="V437"/>
  <c r="G385"/>
  <c r="G384" s="1"/>
  <c r="V384" s="1"/>
  <c r="V386"/>
  <c r="G305"/>
  <c r="V305" s="1"/>
  <c r="V306"/>
  <c r="G203"/>
  <c r="V203" s="1"/>
  <c r="V204"/>
  <c r="G178"/>
  <c r="V178" s="1"/>
  <c r="V179"/>
  <c r="G829"/>
  <c r="V829" s="1"/>
  <c r="V830"/>
  <c r="G882"/>
  <c r="V882" s="1"/>
  <c r="V883"/>
  <c r="G820"/>
  <c r="V820" s="1"/>
  <c r="V821"/>
  <c r="G680"/>
  <c r="V680" s="1"/>
  <c r="V681"/>
  <c r="G649"/>
  <c r="V649" s="1"/>
  <c r="V650"/>
  <c r="V636"/>
  <c r="G587"/>
  <c r="G586" s="1"/>
  <c r="V586" s="1"/>
  <c r="V588"/>
  <c r="G572"/>
  <c r="V572" s="1"/>
  <c r="V573"/>
  <c r="G564"/>
  <c r="G563" s="1"/>
  <c r="V563" s="1"/>
  <c r="V565"/>
  <c r="G525"/>
  <c r="G524" s="1"/>
  <c r="V524" s="1"/>
  <c r="V526"/>
  <c r="G489"/>
  <c r="V489" s="1"/>
  <c r="V490"/>
  <c r="G475"/>
  <c r="G474" s="1"/>
  <c r="V474" s="1"/>
  <c r="V476"/>
  <c r="G446"/>
  <c r="V446" s="1"/>
  <c r="V447"/>
  <c r="G410"/>
  <c r="V410" s="1"/>
  <c r="V411"/>
  <c r="G391"/>
  <c r="V391" s="1"/>
  <c r="V392"/>
  <c r="G340"/>
  <c r="V340" s="1"/>
  <c r="V341"/>
  <c r="G293"/>
  <c r="V293" s="1"/>
  <c r="V294"/>
  <c r="G274"/>
  <c r="G273" s="1"/>
  <c r="V273" s="1"/>
  <c r="V275"/>
  <c r="V255"/>
  <c r="G244"/>
  <c r="V244" s="1"/>
  <c r="V245"/>
  <c r="G212"/>
  <c r="G211" s="1"/>
  <c r="V211" s="1"/>
  <c r="V213"/>
  <c r="G198"/>
  <c r="V198" s="1"/>
  <c r="V199"/>
  <c r="G190"/>
  <c r="V190" s="1"/>
  <c r="V191"/>
  <c r="G182"/>
  <c r="V182" s="1"/>
  <c r="V183"/>
  <c r="G172"/>
  <c r="V172" s="1"/>
  <c r="V173"/>
  <c r="G158"/>
  <c r="V158" s="1"/>
  <c r="V159"/>
  <c r="G150"/>
  <c r="V150" s="1"/>
  <c r="V151"/>
  <c r="G66"/>
  <c r="V66" s="1"/>
  <c r="V67"/>
  <c r="G32"/>
  <c r="V32" s="1"/>
  <c r="V33"/>
  <c r="G843"/>
  <c r="V843" s="1"/>
  <c r="V844"/>
  <c r="G739"/>
  <c r="G738" s="1"/>
  <c r="V738" s="1"/>
  <c r="V740"/>
  <c r="G625"/>
  <c r="V625" s="1"/>
  <c r="V626"/>
  <c r="G534"/>
  <c r="V534" s="1"/>
  <c r="V535"/>
  <c r="G496"/>
  <c r="G495" s="1"/>
  <c r="V495" s="1"/>
  <c r="V497"/>
  <c r="G455"/>
  <c r="V455" s="1"/>
  <c r="V456"/>
  <c r="G404"/>
  <c r="G403" s="1"/>
  <c r="V403" s="1"/>
  <c r="V405"/>
  <c r="G218"/>
  <c r="G217" s="1"/>
  <c r="V217" s="1"/>
  <c r="V219"/>
  <c r="G194"/>
  <c r="V194" s="1"/>
  <c r="V195"/>
  <c r="G186"/>
  <c r="V186" s="1"/>
  <c r="V187"/>
  <c r="G876"/>
  <c r="V876" s="1"/>
  <c r="V877"/>
  <c r="G835"/>
  <c r="V835" s="1"/>
  <c r="V836"/>
  <c r="G888"/>
  <c r="V888" s="1"/>
  <c r="V889"/>
  <c r="G865"/>
  <c r="V865" s="1"/>
  <c r="V866"/>
  <c r="G781"/>
  <c r="V781" s="1"/>
  <c r="V782"/>
  <c r="G748"/>
  <c r="V748" s="1"/>
  <c r="V749"/>
  <c r="G683"/>
  <c r="V683" s="1"/>
  <c r="V684"/>
  <c r="G652"/>
  <c r="V652" s="1"/>
  <c r="V653"/>
  <c r="G638"/>
  <c r="V638" s="1"/>
  <c r="V639"/>
  <c r="G619"/>
  <c r="G618" s="1"/>
  <c r="V618" s="1"/>
  <c r="V620"/>
  <c r="G578"/>
  <c r="G577" s="1"/>
  <c r="V577" s="1"/>
  <c r="V579"/>
  <c r="G528"/>
  <c r="V528" s="1"/>
  <c r="V529"/>
  <c r="G510"/>
  <c r="G509" s="1"/>
  <c r="V509" s="1"/>
  <c r="V511"/>
  <c r="G493"/>
  <c r="G492" s="1"/>
  <c r="V492" s="1"/>
  <c r="V494"/>
  <c r="G480"/>
  <c r="V480" s="1"/>
  <c r="V481"/>
  <c r="G448"/>
  <c r="V448" s="1"/>
  <c r="V449"/>
  <c r="G427"/>
  <c r="V427" s="1"/>
  <c r="V428"/>
  <c r="G412"/>
  <c r="V412" s="1"/>
  <c r="V413"/>
  <c r="G394"/>
  <c r="G393" s="1"/>
  <c r="V393" s="1"/>
  <c r="V395"/>
  <c r="G365"/>
  <c r="V365" s="1"/>
  <c r="V366"/>
  <c r="G280"/>
  <c r="V280" s="1"/>
  <c r="V281"/>
  <c r="G248"/>
  <c r="V248" s="1"/>
  <c r="V249"/>
  <c r="G227"/>
  <c r="V227" s="1"/>
  <c r="V228"/>
  <c r="G215"/>
  <c r="G214" s="1"/>
  <c r="V214" s="1"/>
  <c r="V216"/>
  <c r="G200"/>
  <c r="V200" s="1"/>
  <c r="V201"/>
  <c r="G192"/>
  <c r="V192" s="1"/>
  <c r="V193"/>
  <c r="G184"/>
  <c r="V184" s="1"/>
  <c r="V185"/>
  <c r="G176"/>
  <c r="V176" s="1"/>
  <c r="V177"/>
  <c r="G152"/>
  <c r="V152" s="1"/>
  <c r="V153"/>
  <c r="G121"/>
  <c r="V121" s="1"/>
  <c r="V122"/>
  <c r="G68"/>
  <c r="V68" s="1"/>
  <c r="V69"/>
  <c r="G34"/>
  <c r="V34" s="1"/>
  <c r="V35"/>
  <c r="E252"/>
  <c r="T252" s="1"/>
  <c r="T253"/>
  <c r="E61"/>
  <c r="T61" s="1"/>
  <c r="T509"/>
  <c r="E508"/>
  <c r="E864"/>
  <c r="T864" s="1"/>
  <c r="G671"/>
  <c r="V671" s="1"/>
  <c r="V672"/>
  <c r="E562"/>
  <c r="T562" s="1"/>
  <c r="T566"/>
  <c r="F459"/>
  <c r="U459" s="1"/>
  <c r="U463"/>
  <c r="G61"/>
  <c r="V61" s="1"/>
  <c r="V62"/>
  <c r="E742"/>
  <c r="T742" s="1"/>
  <c r="T743"/>
  <c r="E433"/>
  <c r="T433" s="1"/>
  <c r="T434"/>
  <c r="E97"/>
  <c r="E459"/>
  <c r="T459" s="1"/>
  <c r="T463"/>
  <c r="G387"/>
  <c r="V387" s="1"/>
  <c r="V388"/>
  <c r="V63"/>
  <c r="V64"/>
  <c r="F758"/>
  <c r="U758" s="1"/>
  <c r="U759"/>
  <c r="F91"/>
  <c r="U92"/>
  <c r="F562"/>
  <c r="U562" s="1"/>
  <c r="U566"/>
  <c r="G615"/>
  <c r="V615" s="1"/>
  <c r="V616"/>
  <c r="E758"/>
  <c r="T758" s="1"/>
  <c r="T759"/>
  <c r="F105"/>
  <c r="U105" s="1"/>
  <c r="U106"/>
  <c r="E378"/>
  <c r="T378" s="1"/>
  <c r="E379"/>
  <c r="T379" s="1"/>
  <c r="E89"/>
  <c r="F89"/>
  <c r="F112"/>
  <c r="U112" s="1"/>
  <c r="E112"/>
  <c r="T112" s="1"/>
  <c r="G10"/>
  <c r="G750"/>
  <c r="V750" s="1"/>
  <c r="G361"/>
  <c r="G54"/>
  <c r="G24"/>
  <c r="V24" s="1"/>
  <c r="G464"/>
  <c r="G792"/>
  <c r="V792" s="1"/>
  <c r="G155"/>
  <c r="V155" s="1"/>
  <c r="G144"/>
  <c r="V144" s="1"/>
  <c r="G132"/>
  <c r="V132" s="1"/>
  <c r="G838"/>
  <c r="G543"/>
  <c r="G163"/>
  <c r="V163" s="1"/>
  <c r="G141"/>
  <c r="V141" s="1"/>
  <c r="G123"/>
  <c r="V123" s="1"/>
  <c r="G43"/>
  <c r="G537"/>
  <c r="V537" s="1"/>
  <c r="G129"/>
  <c r="V129" s="1"/>
  <c r="G160"/>
  <c r="V160" s="1"/>
  <c r="G126"/>
  <c r="V126" s="1"/>
  <c r="G778"/>
  <c r="V778" s="1"/>
  <c r="G766"/>
  <c r="V766" s="1"/>
  <c r="G554"/>
  <c r="G117"/>
  <c r="V117" s="1"/>
  <c r="G890"/>
  <c r="V890" s="1"/>
  <c r="G831"/>
  <c r="V831" s="1"/>
  <c r="G760"/>
  <c r="V760" s="1"/>
  <c r="G135"/>
  <c r="V135" s="1"/>
  <c r="G114"/>
  <c r="V114" s="1"/>
  <c r="G567"/>
  <c r="G166"/>
  <c r="V166" s="1"/>
  <c r="G147"/>
  <c r="V147" s="1"/>
  <c r="G17"/>
  <c r="V17" s="1"/>
  <c r="G753"/>
  <c r="V753" s="1"/>
  <c r="G677"/>
  <c r="V677" s="1"/>
  <c r="G673"/>
  <c r="V673" s="1"/>
  <c r="G138"/>
  <c r="V138" s="1"/>
  <c r="G28"/>
  <c r="V28" s="1"/>
  <c r="D14" i="36"/>
  <c r="D13"/>
  <c r="D12"/>
  <c r="D14" i="26"/>
  <c r="D13"/>
  <c r="D12"/>
  <c r="H941" i="11"/>
  <c r="C14" i="25"/>
  <c r="C13"/>
  <c r="C12"/>
  <c r="J1075" i="11"/>
  <c r="I1075"/>
  <c r="H1075"/>
  <c r="J1011"/>
  <c r="I1011"/>
  <c r="H1011"/>
  <c r="J941"/>
  <c r="I941"/>
  <c r="V10" i="17" l="1"/>
  <c r="E105"/>
  <c r="T105" s="1"/>
  <c r="U634"/>
  <c r="F507"/>
  <c r="U507" s="1"/>
  <c r="V209"/>
  <c r="V461"/>
  <c r="V872"/>
  <c r="T97"/>
  <c r="E96"/>
  <c r="U91"/>
  <c r="F90"/>
  <c r="V564"/>
  <c r="V274"/>
  <c r="G571"/>
  <c r="V571" s="1"/>
  <c r="F433"/>
  <c r="U433" s="1"/>
  <c r="G637"/>
  <c r="V637" s="1"/>
  <c r="E633"/>
  <c r="E632" s="1"/>
  <c r="V513"/>
  <c r="V525"/>
  <c r="G435"/>
  <c r="V435" s="1"/>
  <c r="V475"/>
  <c r="F613"/>
  <c r="U613" s="1"/>
  <c r="G417"/>
  <c r="V417" s="1"/>
  <c r="G226"/>
  <c r="V226" s="1"/>
  <c r="G406"/>
  <c r="V406" s="1"/>
  <c r="V499"/>
  <c r="V108"/>
  <c r="G471"/>
  <c r="V471" s="1"/>
  <c r="V662"/>
  <c r="T623"/>
  <c r="G605"/>
  <c r="V605" s="1"/>
  <c r="G279"/>
  <c r="V279" s="1"/>
  <c r="V236"/>
  <c r="G482"/>
  <c r="V482" s="1"/>
  <c r="V215"/>
  <c r="G682"/>
  <c r="V682" s="1"/>
  <c r="G635"/>
  <c r="G634" s="1"/>
  <c r="V578"/>
  <c r="V496"/>
  <c r="V493"/>
  <c r="V218"/>
  <c r="G486"/>
  <c r="G485" s="1"/>
  <c r="V485" s="1"/>
  <c r="G409"/>
  <c r="V409" s="1"/>
  <c r="V212"/>
  <c r="V468"/>
  <c r="V619"/>
  <c r="V587"/>
  <c r="G320"/>
  <c r="V320" s="1"/>
  <c r="G518"/>
  <c r="V518" s="1"/>
  <c r="G627"/>
  <c r="V627" s="1"/>
  <c r="G364"/>
  <c r="V364" s="1"/>
  <c r="V385"/>
  <c r="T62"/>
  <c r="V641"/>
  <c r="V739"/>
  <c r="G533"/>
  <c r="V533" s="1"/>
  <c r="G175"/>
  <c r="V175" s="1"/>
  <c r="G254"/>
  <c r="V254" s="1"/>
  <c r="G390"/>
  <c r="V390" s="1"/>
  <c r="G527"/>
  <c r="V527" s="1"/>
  <c r="G202"/>
  <c r="V202" s="1"/>
  <c r="G454"/>
  <c r="V454" s="1"/>
  <c r="G171"/>
  <c r="V171" s="1"/>
  <c r="G426"/>
  <c r="V426" s="1"/>
  <c r="G624"/>
  <c r="V624" s="1"/>
  <c r="V404"/>
  <c r="G74"/>
  <c r="V74" s="1"/>
  <c r="V394"/>
  <c r="V510"/>
  <c r="F88"/>
  <c r="U88" s="1"/>
  <c r="U89"/>
  <c r="E507"/>
  <c r="T507" s="1"/>
  <c r="T508"/>
  <c r="T614"/>
  <c r="E613"/>
  <c r="T613" s="1"/>
  <c r="E88"/>
  <c r="T89"/>
  <c r="U623"/>
  <c r="F622"/>
  <c r="U622" s="1"/>
  <c r="G542"/>
  <c r="V542" s="1"/>
  <c r="V543"/>
  <c r="U633"/>
  <c r="F632"/>
  <c r="G102"/>
  <c r="V102" s="1"/>
  <c r="V103"/>
  <c r="G553"/>
  <c r="V553" s="1"/>
  <c r="V554"/>
  <c r="G463"/>
  <c r="V464"/>
  <c r="G360"/>
  <c r="V360" s="1"/>
  <c r="V361"/>
  <c r="G42"/>
  <c r="V42" s="1"/>
  <c r="V43"/>
  <c r="G100"/>
  <c r="V100" s="1"/>
  <c r="V101"/>
  <c r="V93"/>
  <c r="G614"/>
  <c r="G508"/>
  <c r="G566"/>
  <c r="V567"/>
  <c r="G837"/>
  <c r="V837" s="1"/>
  <c r="V838"/>
  <c r="G53"/>
  <c r="V53" s="1"/>
  <c r="V54"/>
  <c r="G106"/>
  <c r="V107"/>
  <c r="G113"/>
  <c r="V113" s="1"/>
  <c r="G759"/>
  <c r="G154"/>
  <c r="V154" s="1"/>
  <c r="E15" i="25"/>
  <c r="G434" i="17" l="1"/>
  <c r="G433" s="1"/>
  <c r="T633"/>
  <c r="V486"/>
  <c r="V635"/>
  <c r="G383"/>
  <c r="V383" s="1"/>
  <c r="G623"/>
  <c r="V623" s="1"/>
  <c r="T88"/>
  <c r="F631"/>
  <c r="U631" s="1"/>
  <c r="U632"/>
  <c r="V106"/>
  <c r="G105"/>
  <c r="G613"/>
  <c r="V614"/>
  <c r="G507"/>
  <c r="V508"/>
  <c r="G91"/>
  <c r="V92"/>
  <c r="G459"/>
  <c r="V459" s="1"/>
  <c r="V463"/>
  <c r="G758"/>
  <c r="V759"/>
  <c r="G633"/>
  <c r="V634"/>
  <c r="E631"/>
  <c r="T631" s="1"/>
  <c r="T632"/>
  <c r="G562"/>
  <c r="V562" s="1"/>
  <c r="V566"/>
  <c r="G97"/>
  <c r="G112"/>
  <c r="V112" s="1"/>
  <c r="J1343" i="11"/>
  <c r="G597" i="17" s="1"/>
  <c r="V597" s="1"/>
  <c r="I1343" i="11"/>
  <c r="F597" i="17" s="1"/>
  <c r="U597" s="1"/>
  <c r="H1343" i="11"/>
  <c r="E597" i="17" s="1"/>
  <c r="T597" s="1"/>
  <c r="H1353" i="11"/>
  <c r="E607" i="17" s="1"/>
  <c r="H1333" i="11"/>
  <c r="E583" i="17" s="1"/>
  <c r="J1333" i="11"/>
  <c r="G583" i="17" s="1"/>
  <c r="I1333" i="11"/>
  <c r="F583" i="17" s="1"/>
  <c r="V97" l="1"/>
  <c r="G96"/>
  <c r="V91"/>
  <c r="G90"/>
  <c r="G622"/>
  <c r="V622" s="1"/>
  <c r="V434"/>
  <c r="F581"/>
  <c r="U581" s="1"/>
  <c r="U583"/>
  <c r="E581"/>
  <c r="T581" s="1"/>
  <c r="T583"/>
  <c r="G581"/>
  <c r="V581" s="1"/>
  <c r="V583"/>
  <c r="E606"/>
  <c r="E605" s="1"/>
  <c r="T605" s="1"/>
  <c r="T607"/>
  <c r="E16" i="23"/>
  <c r="V433" i="17"/>
  <c r="E35" i="23"/>
  <c r="V758" i="17"/>
  <c r="G632"/>
  <c r="V633"/>
  <c r="E19" i="23"/>
  <c r="V507" i="17"/>
  <c r="V613"/>
  <c r="E23" i="23"/>
  <c r="E8"/>
  <c r="V105" i="17"/>
  <c r="H1068" i="11"/>
  <c r="J1017"/>
  <c r="I1017"/>
  <c r="H1017"/>
  <c r="H932"/>
  <c r="H934"/>
  <c r="E24" i="23" l="1"/>
  <c r="T606" i="17"/>
  <c r="E580"/>
  <c r="T580" s="1"/>
  <c r="G580"/>
  <c r="V580" s="1"/>
  <c r="F580"/>
  <c r="U580" s="1"/>
  <c r="G631"/>
  <c r="V632"/>
  <c r="H260" i="11"/>
  <c r="E504" i="17" s="1"/>
  <c r="T504" s="1"/>
  <c r="J1184" i="11"/>
  <c r="G278" i="17" s="1"/>
  <c r="J1194" i="11"/>
  <c r="I1194"/>
  <c r="E278" i="17"/>
  <c r="E277" s="1"/>
  <c r="H1260" i="11"/>
  <c r="E833" i="17" s="1"/>
  <c r="G827"/>
  <c r="I1254" i="11"/>
  <c r="F827" i="17" s="1"/>
  <c r="E576" l="1"/>
  <c r="T576" s="1"/>
  <c r="G576"/>
  <c r="V576" s="1"/>
  <c r="E831"/>
  <c r="T831" s="1"/>
  <c r="T833"/>
  <c r="G825"/>
  <c r="V825" s="1"/>
  <c r="V827"/>
  <c r="F825"/>
  <c r="U825" s="1"/>
  <c r="U827"/>
  <c r="G277"/>
  <c r="V277" s="1"/>
  <c r="V278"/>
  <c r="T277"/>
  <c r="T278"/>
  <c r="F576"/>
  <c r="U576" s="1"/>
  <c r="E25" i="23"/>
  <c r="V631" i="17"/>
  <c r="H1254" i="11"/>
  <c r="E827" i="17" s="1"/>
  <c r="G276" l="1"/>
  <c r="V276" s="1"/>
  <c r="G824"/>
  <c r="V824" s="1"/>
  <c r="F824"/>
  <c r="U824" s="1"/>
  <c r="E825"/>
  <c r="T825" s="1"/>
  <c r="T827"/>
  <c r="E276"/>
  <c r="T276" s="1"/>
  <c r="T1309" i="11"/>
  <c r="G87" i="17"/>
  <c r="R1309" i="11"/>
  <c r="G823" i="17" l="1"/>
  <c r="E40" i="23" s="1"/>
  <c r="E824" i="17"/>
  <c r="T824" s="1"/>
  <c r="F823"/>
  <c r="U823" s="1"/>
  <c r="G86"/>
  <c r="V86" s="1"/>
  <c r="V87"/>
  <c r="S1308" i="11"/>
  <c r="T1308"/>
  <c r="S1309"/>
  <c r="R1308"/>
  <c r="V823" i="17" l="1"/>
  <c r="E823"/>
  <c r="T823" s="1"/>
  <c r="J742" i="11"/>
  <c r="J740"/>
  <c r="I742"/>
  <c r="I740"/>
  <c r="J732"/>
  <c r="J730"/>
  <c r="I732"/>
  <c r="I730"/>
  <c r="J697" l="1"/>
  <c r="I697"/>
  <c r="I663"/>
  <c r="J663"/>
  <c r="J662" s="1"/>
  <c r="AG664"/>
  <c r="H663"/>
  <c r="AG663" l="1"/>
  <c r="N663"/>
  <c r="H662"/>
  <c r="N662" s="1"/>
  <c r="I662"/>
  <c r="I661" s="1"/>
  <c r="J661"/>
  <c r="AH661" l="1"/>
  <c r="AH662"/>
  <c r="AG662"/>
  <c r="H661"/>
  <c r="N661" s="1"/>
  <c r="AG661" l="1"/>
  <c r="R370" l="1"/>
  <c r="S370"/>
  <c r="T370"/>
  <c r="R371"/>
  <c r="S371"/>
  <c r="T371"/>
  <c r="I369"/>
  <c r="S369" s="1"/>
  <c r="J369"/>
  <c r="H369"/>
  <c r="R369" s="1"/>
  <c r="T369" l="1"/>
  <c r="N369"/>
  <c r="J503"/>
  <c r="I503"/>
  <c r="F71" i="17" s="1"/>
  <c r="H503" i="11"/>
  <c r="E71" i="17" s="1"/>
  <c r="G71" l="1"/>
  <c r="V71" s="1"/>
  <c r="N503" i="11"/>
  <c r="F70" i="17"/>
  <c r="U70" s="1"/>
  <c r="U71"/>
  <c r="E70"/>
  <c r="T70" s="1"/>
  <c r="T71"/>
  <c r="I491" i="11"/>
  <c r="F16" i="17" s="1"/>
  <c r="J491" i="11"/>
  <c r="E16" i="17"/>
  <c r="I483" i="11"/>
  <c r="F728" i="17" s="1"/>
  <c r="U728" s="1"/>
  <c r="J483" i="11"/>
  <c r="H483"/>
  <c r="E728" i="17" s="1"/>
  <c r="T728" s="1"/>
  <c r="I482" i="11"/>
  <c r="F727" i="17" s="1"/>
  <c r="U727" s="1"/>
  <c r="J482" i="11"/>
  <c r="H482"/>
  <c r="E727" i="17" s="1"/>
  <c r="T727" s="1"/>
  <c r="I459" i="11"/>
  <c r="F51" i="17" s="1"/>
  <c r="U51" s="1"/>
  <c r="J459" i="11"/>
  <c r="I460"/>
  <c r="F52" i="17" s="1"/>
  <c r="U52" s="1"/>
  <c r="J460" i="11"/>
  <c r="H460"/>
  <c r="E52" i="17" s="1"/>
  <c r="T52" s="1"/>
  <c r="H459" i="11"/>
  <c r="E51" i="17" s="1"/>
  <c r="T51" s="1"/>
  <c r="J457" i="11"/>
  <c r="I457"/>
  <c r="F49" i="17" s="1"/>
  <c r="U49" s="1"/>
  <c r="H457" i="11"/>
  <c r="E49" i="17" s="1"/>
  <c r="T49" s="1"/>
  <c r="J456" i="11"/>
  <c r="I456"/>
  <c r="F48" i="17" s="1"/>
  <c r="U48" s="1"/>
  <c r="H456" i="11"/>
  <c r="E48" i="17" s="1"/>
  <c r="T48" s="1"/>
  <c r="G38"/>
  <c r="V38" s="1"/>
  <c r="G37"/>
  <c r="V37" s="1"/>
  <c r="F38"/>
  <c r="U38" s="1"/>
  <c r="F37"/>
  <c r="U37" s="1"/>
  <c r="E38"/>
  <c r="T38" s="1"/>
  <c r="E37"/>
  <c r="T37" s="1"/>
  <c r="G52" l="1"/>
  <c r="V52" s="1"/>
  <c r="N460" i="11"/>
  <c r="G728" i="17"/>
  <c r="V728" s="1"/>
  <c r="N483" i="11"/>
  <c r="G16" i="17"/>
  <c r="V16" s="1"/>
  <c r="N491" i="11"/>
  <c r="G70" i="17"/>
  <c r="V70" s="1"/>
  <c r="G48"/>
  <c r="V48" s="1"/>
  <c r="N456" i="11"/>
  <c r="G51" i="17"/>
  <c r="V51" s="1"/>
  <c r="N459" i="11"/>
  <c r="G49" i="17"/>
  <c r="V49" s="1"/>
  <c r="N457" i="11"/>
  <c r="G727" i="17"/>
  <c r="V727" s="1"/>
  <c r="N482" i="11"/>
  <c r="F65" i="17"/>
  <c r="U65" s="1"/>
  <c r="F14"/>
  <c r="U16"/>
  <c r="E14"/>
  <c r="E9" s="1"/>
  <c r="T16"/>
  <c r="E65"/>
  <c r="T65" s="1"/>
  <c r="G7" i="33"/>
  <c r="H7"/>
  <c r="L7"/>
  <c r="E47" i="17"/>
  <c r="T47" s="1"/>
  <c r="E726"/>
  <c r="T726" s="1"/>
  <c r="F50"/>
  <c r="U50" s="1"/>
  <c r="F726"/>
  <c r="U726" s="1"/>
  <c r="E36"/>
  <c r="E50"/>
  <c r="T50" s="1"/>
  <c r="F36"/>
  <c r="F47"/>
  <c r="U47" s="1"/>
  <c r="G47"/>
  <c r="V47" s="1"/>
  <c r="I455" i="11"/>
  <c r="J455"/>
  <c r="N455" s="1"/>
  <c r="G36" i="17"/>
  <c r="J458" i="11"/>
  <c r="N458" s="1"/>
  <c r="H458"/>
  <c r="H455"/>
  <c r="I458"/>
  <c r="G726" i="17" l="1"/>
  <c r="V726" s="1"/>
  <c r="G50"/>
  <c r="V50" s="1"/>
  <c r="G14"/>
  <c r="G9" s="1"/>
  <c r="G65"/>
  <c r="V65" s="1"/>
  <c r="U14"/>
  <c r="F9"/>
  <c r="T14"/>
  <c r="T9"/>
  <c r="G23"/>
  <c r="V23" s="1"/>
  <c r="V36"/>
  <c r="E23"/>
  <c r="T23" s="1"/>
  <c r="T36"/>
  <c r="F23"/>
  <c r="U23" s="1"/>
  <c r="U36"/>
  <c r="E46"/>
  <c r="T46" s="1"/>
  <c r="F46"/>
  <c r="U46" s="1"/>
  <c r="I454" i="11"/>
  <c r="J454"/>
  <c r="N454" s="1"/>
  <c r="H454"/>
  <c r="G46" i="17" l="1"/>
  <c r="V46" s="1"/>
  <c r="V14"/>
  <c r="U9"/>
  <c r="V9"/>
  <c r="K19" i="36"/>
  <c r="L19" s="1"/>
  <c r="E298" i="17"/>
  <c r="G350"/>
  <c r="V350" s="1"/>
  <c r="F350"/>
  <c r="U350" s="1"/>
  <c r="I513" i="11"/>
  <c r="I512" s="1"/>
  <c r="I511" s="1"/>
  <c r="J513"/>
  <c r="J512" s="1"/>
  <c r="J511" s="1"/>
  <c r="H618"/>
  <c r="J617"/>
  <c r="I617"/>
  <c r="J648"/>
  <c r="G737" i="17" s="1"/>
  <c r="I648" i="11"/>
  <c r="F737" i="17" s="1"/>
  <c r="H648" i="11"/>
  <c r="J645"/>
  <c r="G734" i="17" s="1"/>
  <c r="V734" s="1"/>
  <c r="I645" i="11"/>
  <c r="F734" i="17" s="1"/>
  <c r="U734" s="1"/>
  <c r="H645" i="11"/>
  <c r="F549" i="17"/>
  <c r="U549" s="1"/>
  <c r="G549"/>
  <c r="V549" s="1"/>
  <c r="E549"/>
  <c r="T549" s="1"/>
  <c r="J613" i="11"/>
  <c r="G369" i="17" s="1"/>
  <c r="I613" i="11"/>
  <c r="F369" i="17" s="1"/>
  <c r="H613" i="11"/>
  <c r="J602"/>
  <c r="G358" i="17" s="1"/>
  <c r="I602" i="11"/>
  <c r="F358" i="17" s="1"/>
  <c r="H602" i="11"/>
  <c r="G353" i="17"/>
  <c r="I597" i="11"/>
  <c r="F353" i="17" s="1"/>
  <c r="H597" i="11"/>
  <c r="E350" i="17"/>
  <c r="T350" s="1"/>
  <c r="G349"/>
  <c r="V349" s="1"/>
  <c r="F349"/>
  <c r="U349" s="1"/>
  <c r="E349"/>
  <c r="T349" s="1"/>
  <c r="G431"/>
  <c r="F431"/>
  <c r="E431"/>
  <c r="I556" i="11"/>
  <c r="F423" i="17" s="1"/>
  <c r="U423" s="1"/>
  <c r="J556" i="11"/>
  <c r="G423" i="17" s="1"/>
  <c r="V423" s="1"/>
  <c r="H556" i="11"/>
  <c r="G346" i="17"/>
  <c r="V346" s="1"/>
  <c r="F346"/>
  <c r="U346" s="1"/>
  <c r="E346"/>
  <c r="T346" s="1"/>
  <c r="G345"/>
  <c r="V345" s="1"/>
  <c r="F345"/>
  <c r="U345" s="1"/>
  <c r="E345"/>
  <c r="T345" s="1"/>
  <c r="F19" i="36"/>
  <c r="J19" s="1"/>
  <c r="D37"/>
  <c r="F37" s="1"/>
  <c r="D36"/>
  <c r="F36" s="1"/>
  <c r="F35" s="1"/>
  <c r="K35"/>
  <c r="E35"/>
  <c r="C35"/>
  <c r="B35"/>
  <c r="O29"/>
  <c r="N29"/>
  <c r="M29"/>
  <c r="K29"/>
  <c r="K24"/>
  <c r="D24"/>
  <c r="C24"/>
  <c r="B24"/>
  <c r="E20"/>
  <c r="E26" s="1"/>
  <c r="C20"/>
  <c r="C31" s="1"/>
  <c r="B20"/>
  <c r="P20" s="1"/>
  <c r="Q19"/>
  <c r="P19"/>
  <c r="Q18"/>
  <c r="P18"/>
  <c r="F18"/>
  <c r="J18" s="1"/>
  <c r="Q17"/>
  <c r="P17"/>
  <c r="F17"/>
  <c r="J17" s="1"/>
  <c r="Q16"/>
  <c r="P16"/>
  <c r="F16"/>
  <c r="J16" s="1"/>
  <c r="Q15"/>
  <c r="P15"/>
  <c r="F15"/>
  <c r="J15" s="1"/>
  <c r="Q14"/>
  <c r="P14"/>
  <c r="F14"/>
  <c r="J14" s="1"/>
  <c r="Q13"/>
  <c r="P13"/>
  <c r="F13"/>
  <c r="J13" s="1"/>
  <c r="Q12"/>
  <c r="P12"/>
  <c r="F12"/>
  <c r="J12" s="1"/>
  <c r="Q11"/>
  <c r="P11"/>
  <c r="F11"/>
  <c r="J11" s="1"/>
  <c r="Q10"/>
  <c r="P10"/>
  <c r="F10"/>
  <c r="Q9"/>
  <c r="P9"/>
  <c r="F9"/>
  <c r="J9" s="1"/>
  <c r="Q8"/>
  <c r="P8"/>
  <c r="F8"/>
  <c r="J8" s="1"/>
  <c r="Q7"/>
  <c r="P7"/>
  <c r="F7"/>
  <c r="J7" s="1"/>
  <c r="Q6"/>
  <c r="P6"/>
  <c r="F6"/>
  <c r="J6" s="1"/>
  <c r="Q5"/>
  <c r="P5"/>
  <c r="F5"/>
  <c r="J5" s="1"/>
  <c r="Q4"/>
  <c r="P4"/>
  <c r="F4"/>
  <c r="J4" s="1"/>
  <c r="Q3"/>
  <c r="P3"/>
  <c r="F3"/>
  <c r="J3" s="1"/>
  <c r="K34" l="1"/>
  <c r="E353" i="17"/>
  <c r="T353" s="1"/>
  <c r="N597" i="11"/>
  <c r="E734" i="17"/>
  <c r="T734" s="1"/>
  <c r="N645" i="11"/>
  <c r="H617"/>
  <c r="N617" s="1"/>
  <c r="N618"/>
  <c r="E358" i="17"/>
  <c r="T358" s="1"/>
  <c r="N602" i="11"/>
  <c r="E737" i="17"/>
  <c r="T737" s="1"/>
  <c r="N648" i="11"/>
  <c r="E423" i="17"/>
  <c r="T423" s="1"/>
  <c r="N556" i="11"/>
  <c r="E369" i="17"/>
  <c r="T369" s="1"/>
  <c r="N613" i="11"/>
  <c r="F357" i="17"/>
  <c r="F356" s="1"/>
  <c r="U356" s="1"/>
  <c r="U358"/>
  <c r="G368"/>
  <c r="G367" s="1"/>
  <c r="V367" s="1"/>
  <c r="V369"/>
  <c r="F736"/>
  <c r="U736" s="1"/>
  <c r="U737"/>
  <c r="G430"/>
  <c r="V430" s="1"/>
  <c r="V431"/>
  <c r="E357"/>
  <c r="E356" s="1"/>
  <c r="T356" s="1"/>
  <c r="F368"/>
  <c r="U368" s="1"/>
  <c r="U369"/>
  <c r="F430"/>
  <c r="U430" s="1"/>
  <c r="U431"/>
  <c r="G352"/>
  <c r="V352" s="1"/>
  <c r="V353"/>
  <c r="E430"/>
  <c r="E429" s="1"/>
  <c r="T429" s="1"/>
  <c r="T431"/>
  <c r="F352"/>
  <c r="U352" s="1"/>
  <c r="U353"/>
  <c r="G357"/>
  <c r="G356" s="1"/>
  <c r="V356" s="1"/>
  <c r="V358"/>
  <c r="G736"/>
  <c r="V736" s="1"/>
  <c r="V737"/>
  <c r="E297"/>
  <c r="T297" s="1"/>
  <c r="T298"/>
  <c r="E24" i="36"/>
  <c r="E27" s="1"/>
  <c r="F26"/>
  <c r="F24" s="1"/>
  <c r="E310" i="17"/>
  <c r="G12" i="33"/>
  <c r="E344" i="17"/>
  <c r="E348"/>
  <c r="F344"/>
  <c r="F348"/>
  <c r="D35" i="36"/>
  <c r="H954" i="11"/>
  <c r="G344" i="17"/>
  <c r="G348"/>
  <c r="E31" i="36"/>
  <c r="E29" s="1"/>
  <c r="E32" s="1"/>
  <c r="D20"/>
  <c r="D30" s="1"/>
  <c r="F30" s="1"/>
  <c r="D31"/>
  <c r="C29"/>
  <c r="C32" s="1"/>
  <c r="F20"/>
  <c r="B30"/>
  <c r="B29" s="1"/>
  <c r="B32" s="1"/>
  <c r="Q20"/>
  <c r="F4" i="26"/>
  <c r="J4" s="1"/>
  <c r="F5"/>
  <c r="J5" s="1"/>
  <c r="F6"/>
  <c r="J6" s="1"/>
  <c r="F7"/>
  <c r="J7" s="1"/>
  <c r="F8"/>
  <c r="J8" s="1"/>
  <c r="F9"/>
  <c r="J9" s="1"/>
  <c r="F10"/>
  <c r="J10" s="1"/>
  <c r="F11"/>
  <c r="J11" s="1"/>
  <c r="F12"/>
  <c r="J12" s="1"/>
  <c r="F13"/>
  <c r="J13" s="1"/>
  <c r="F14"/>
  <c r="J14" s="1"/>
  <c r="F15"/>
  <c r="J15" s="1"/>
  <c r="F16"/>
  <c r="J16" s="1"/>
  <c r="F17"/>
  <c r="J17" s="1"/>
  <c r="F18"/>
  <c r="J18" s="1"/>
  <c r="F19"/>
  <c r="J19" s="1"/>
  <c r="F3"/>
  <c r="J3" s="1"/>
  <c r="E736" i="17" l="1"/>
  <c r="T736" s="1"/>
  <c r="E368"/>
  <c r="E367" s="1"/>
  <c r="T367" s="1"/>
  <c r="E352"/>
  <c r="T352" s="1"/>
  <c r="J20" i="26"/>
  <c r="C16" i="1" s="1"/>
  <c r="V357" i="17"/>
  <c r="V368"/>
  <c r="T357"/>
  <c r="G429"/>
  <c r="V429" s="1"/>
  <c r="T430"/>
  <c r="U357"/>
  <c r="F429"/>
  <c r="U429" s="1"/>
  <c r="F367"/>
  <c r="U367" s="1"/>
  <c r="E309"/>
  <c r="T309" s="1"/>
  <c r="T310"/>
  <c r="E343"/>
  <c r="T343" s="1"/>
  <c r="T344"/>
  <c r="F343"/>
  <c r="U343" s="1"/>
  <c r="U344"/>
  <c r="E347"/>
  <c r="T347" s="1"/>
  <c r="T348"/>
  <c r="G343"/>
  <c r="V343" s="1"/>
  <c r="V344"/>
  <c r="G347"/>
  <c r="V347" s="1"/>
  <c r="V348"/>
  <c r="F347"/>
  <c r="U347" s="1"/>
  <c r="U348"/>
  <c r="E50" i="18"/>
  <c r="H956" i="11"/>
  <c r="E34" i="36"/>
  <c r="F31"/>
  <c r="F29" s="1"/>
  <c r="D29"/>
  <c r="D34" s="1"/>
  <c r="B34"/>
  <c r="C34"/>
  <c r="E395" i="17"/>
  <c r="E47" i="18"/>
  <c r="E49"/>
  <c r="J646" i="11"/>
  <c r="G735" i="17" s="1"/>
  <c r="I646" i="11"/>
  <c r="F735" i="17" s="1"/>
  <c r="H646" i="11"/>
  <c r="H644"/>
  <c r="I579"/>
  <c r="I578" s="1"/>
  <c r="I577" s="1"/>
  <c r="J579"/>
  <c r="J578" s="1"/>
  <c r="J577" s="1"/>
  <c r="E316" i="17"/>
  <c r="E302"/>
  <c r="J981" i="11"/>
  <c r="I981"/>
  <c r="H981"/>
  <c r="G807" i="17"/>
  <c r="V807" s="1"/>
  <c r="G808"/>
  <c r="V808" s="1"/>
  <c r="E796"/>
  <c r="H272" i="11"/>
  <c r="E711" i="17" s="1"/>
  <c r="T711" s="1"/>
  <c r="D25" i="25"/>
  <c r="F25" s="1"/>
  <c r="L25" s="1"/>
  <c r="C8"/>
  <c r="V2"/>
  <c r="T368" i="17" l="1"/>
  <c r="E735"/>
  <c r="T735" s="1"/>
  <c r="N646" i="11"/>
  <c r="E733" i="17"/>
  <c r="T733" s="1"/>
  <c r="N644" i="11"/>
  <c r="G732" i="17"/>
  <c r="V732" s="1"/>
  <c r="V735"/>
  <c r="F732"/>
  <c r="U732" s="1"/>
  <c r="U735"/>
  <c r="E394"/>
  <c r="T395"/>
  <c r="E301"/>
  <c r="T301" s="1"/>
  <c r="T302"/>
  <c r="E795"/>
  <c r="T795" s="1"/>
  <c r="T796"/>
  <c r="E315"/>
  <c r="T315" s="1"/>
  <c r="T316"/>
  <c r="H1046" i="11"/>
  <c r="E810" i="17"/>
  <c r="I984" i="11"/>
  <c r="F796" i="17"/>
  <c r="I1046" i="11"/>
  <c r="F810" i="17"/>
  <c r="H582" i="11"/>
  <c r="N582" s="1"/>
  <c r="H580"/>
  <c r="N580" s="1"/>
  <c r="G806" i="17"/>
  <c r="V806" s="1"/>
  <c r="J1046" i="11"/>
  <c r="G810" i="17"/>
  <c r="J984" i="11"/>
  <c r="G796" i="17"/>
  <c r="J1043" i="11"/>
  <c r="H1043"/>
  <c r="F32" i="36"/>
  <c r="F34"/>
  <c r="I1043" i="11"/>
  <c r="T394" i="17" l="1"/>
  <c r="E393"/>
  <c r="T393" s="1"/>
  <c r="E732"/>
  <c r="T732" s="1"/>
  <c r="F731"/>
  <c r="U731" s="1"/>
  <c r="G809"/>
  <c r="V809" s="1"/>
  <c r="V810"/>
  <c r="E809"/>
  <c r="T809" s="1"/>
  <c r="T810"/>
  <c r="F809"/>
  <c r="U809" s="1"/>
  <c r="U810"/>
  <c r="G795"/>
  <c r="V795" s="1"/>
  <c r="V796"/>
  <c r="F795"/>
  <c r="U795" s="1"/>
  <c r="U796"/>
  <c r="G731"/>
  <c r="V731" s="1"/>
  <c r="H579" i="11"/>
  <c r="J480"/>
  <c r="I480"/>
  <c r="F725" i="17" s="1"/>
  <c r="U725" s="1"/>
  <c r="H466" i="11"/>
  <c r="H465" s="1"/>
  <c r="J495"/>
  <c r="N495" s="1"/>
  <c r="I495"/>
  <c r="J493"/>
  <c r="N493" s="1"/>
  <c r="I493"/>
  <c r="H480"/>
  <c r="E725" i="17" s="1"/>
  <c r="T725" s="1"/>
  <c r="E724"/>
  <c r="T724" s="1"/>
  <c r="J477" i="11"/>
  <c r="I477"/>
  <c r="F722" i="17" s="1"/>
  <c r="H477" i="11"/>
  <c r="E722" i="17" s="1"/>
  <c r="J474" i="11"/>
  <c r="N474" s="1"/>
  <c r="I474"/>
  <c r="F719" i="17" s="1"/>
  <c r="H474" i="11"/>
  <c r="E719" i="17" s="1"/>
  <c r="T719" s="1"/>
  <c r="H473" i="11"/>
  <c r="E718" i="17" s="1"/>
  <c r="T718" s="1"/>
  <c r="J466" i="11"/>
  <c r="J462"/>
  <c r="J427"/>
  <c r="N427" s="1"/>
  <c r="I427"/>
  <c r="H427"/>
  <c r="G59" i="17"/>
  <c r="V59" s="1"/>
  <c r="I374" i="11"/>
  <c r="F59" i="17" s="1"/>
  <c r="H373" i="11"/>
  <c r="J358"/>
  <c r="N358" s="1"/>
  <c r="J335"/>
  <c r="I335"/>
  <c r="I334" s="1"/>
  <c r="H335"/>
  <c r="H334" s="1"/>
  <c r="I324"/>
  <c r="J324"/>
  <c r="N324" s="1"/>
  <c r="H324"/>
  <c r="J650"/>
  <c r="J649" s="1"/>
  <c r="J647"/>
  <c r="J643"/>
  <c r="J638"/>
  <c r="J637" s="1"/>
  <c r="J636" s="1"/>
  <c r="J635" s="1"/>
  <c r="J631"/>
  <c r="J630" s="1"/>
  <c r="J629" s="1"/>
  <c r="J623"/>
  <c r="J622" s="1"/>
  <c r="J612"/>
  <c r="J611" s="1"/>
  <c r="J609"/>
  <c r="J608" s="1"/>
  <c r="J605"/>
  <c r="J604" s="1"/>
  <c r="J601"/>
  <c r="J600" s="1"/>
  <c r="J596"/>
  <c r="J592"/>
  <c r="J591" s="1"/>
  <c r="J587"/>
  <c r="J586" s="1"/>
  <c r="J585" s="1"/>
  <c r="J573"/>
  <c r="J572" s="1"/>
  <c r="J571" s="1"/>
  <c r="J570" s="1"/>
  <c r="J568"/>
  <c r="J567" s="1"/>
  <c r="J566" s="1"/>
  <c r="J565" s="1"/>
  <c r="J563"/>
  <c r="J562" s="1"/>
  <c r="J560"/>
  <c r="J559" s="1"/>
  <c r="J558"/>
  <c r="J551"/>
  <c r="J550" s="1"/>
  <c r="J546"/>
  <c r="J545" s="1"/>
  <c r="J544" s="1"/>
  <c r="J543" s="1"/>
  <c r="J540"/>
  <c r="J533"/>
  <c r="J532" s="1"/>
  <c r="J531" s="1"/>
  <c r="J530" s="1"/>
  <c r="J528"/>
  <c r="J527" s="1"/>
  <c r="J525"/>
  <c r="J524" s="1"/>
  <c r="J522"/>
  <c r="J521" s="1"/>
  <c r="J518"/>
  <c r="J517" s="1"/>
  <c r="J504"/>
  <c r="N504" s="1"/>
  <c r="J502"/>
  <c r="N502" s="1"/>
  <c r="J500"/>
  <c r="N500" s="1"/>
  <c r="J498"/>
  <c r="N498" s="1"/>
  <c r="J489"/>
  <c r="J481"/>
  <c r="N481" s="1"/>
  <c r="J448"/>
  <c r="J442"/>
  <c r="J438"/>
  <c r="J433"/>
  <c r="J424"/>
  <c r="J418"/>
  <c r="J412"/>
  <c r="J407"/>
  <c r="J402"/>
  <c r="J395"/>
  <c r="N395" s="1"/>
  <c r="J391"/>
  <c r="N391" s="1"/>
  <c r="J378"/>
  <c r="N378" s="1"/>
  <c r="J376"/>
  <c r="N376" s="1"/>
  <c r="J366"/>
  <c r="N366" s="1"/>
  <c r="J362"/>
  <c r="N362" s="1"/>
  <c r="J352"/>
  <c r="N352" s="1"/>
  <c r="J351"/>
  <c r="J346"/>
  <c r="J340"/>
  <c r="J328"/>
  <c r="N328" s="1"/>
  <c r="H563"/>
  <c r="H568"/>
  <c r="H573"/>
  <c r="H587"/>
  <c r="J806"/>
  <c r="G746" i="17" s="1"/>
  <c r="I806" i="11"/>
  <c r="F746" i="17" s="1"/>
  <c r="H798" i="11"/>
  <c r="J797"/>
  <c r="G223" i="17" s="1"/>
  <c r="I797" i="11"/>
  <c r="F223" i="17" s="1"/>
  <c r="H797" i="11"/>
  <c r="H746"/>
  <c r="N746" s="1"/>
  <c r="H1226"/>
  <c r="E819" i="17" s="1"/>
  <c r="H1222" i="11"/>
  <c r="E815" i="17" s="1"/>
  <c r="T815" s="1"/>
  <c r="J1166" i="11"/>
  <c r="J1226"/>
  <c r="I1226"/>
  <c r="F819" i="17" s="1"/>
  <c r="J1223" i="11"/>
  <c r="G816" i="17" s="1"/>
  <c r="V816" s="1"/>
  <c r="I1223" i="11"/>
  <c r="F816" i="17" s="1"/>
  <c r="U816" s="1"/>
  <c r="H1223" i="11"/>
  <c r="E816" i="17" s="1"/>
  <c r="T816" s="1"/>
  <c r="I1192" i="11"/>
  <c r="F286" i="17" s="1"/>
  <c r="J1192" i="11"/>
  <c r="H1192"/>
  <c r="E286" i="17" s="1"/>
  <c r="J1183" i="11"/>
  <c r="J1182" s="1"/>
  <c r="I1184"/>
  <c r="F278" i="17" s="1"/>
  <c r="I1166" i="11"/>
  <c r="F271" i="17" s="1"/>
  <c r="H1166" i="11"/>
  <c r="E271" i="17" s="1"/>
  <c r="R1151" i="11"/>
  <c r="S1151"/>
  <c r="T1151"/>
  <c r="D37" i="35"/>
  <c r="J1239" i="11"/>
  <c r="J1238" s="1"/>
  <c r="J1237" s="1"/>
  <c r="J1232"/>
  <c r="J1231" s="1"/>
  <c r="J1230" s="1"/>
  <c r="J1229" s="1"/>
  <c r="J1228" s="1"/>
  <c r="J1227" s="1"/>
  <c r="J1222"/>
  <c r="G815" i="17" s="1"/>
  <c r="V815" s="1"/>
  <c r="J1216" i="11"/>
  <c r="J1215" s="1"/>
  <c r="J1213"/>
  <c r="J1212" s="1"/>
  <c r="J1210"/>
  <c r="J1209" s="1"/>
  <c r="J1208" s="1"/>
  <c r="J1204"/>
  <c r="J1203" s="1"/>
  <c r="J1202" s="1"/>
  <c r="J1201" s="1"/>
  <c r="J1199"/>
  <c r="J1195"/>
  <c r="J1193"/>
  <c r="J1186"/>
  <c r="J1185" s="1"/>
  <c r="J1177"/>
  <c r="J1176" s="1"/>
  <c r="J1175" s="1"/>
  <c r="J1170"/>
  <c r="J1169" s="1"/>
  <c r="J1168" s="1"/>
  <c r="J1167" s="1"/>
  <c r="J1163"/>
  <c r="F37" i="35"/>
  <c r="F36"/>
  <c r="J1152" i="11"/>
  <c r="J1146"/>
  <c r="J1144"/>
  <c r="J1142"/>
  <c r="J1137"/>
  <c r="J1136" s="1"/>
  <c r="J1135" s="1"/>
  <c r="J1134" s="1"/>
  <c r="J1131"/>
  <c r="J1130" s="1"/>
  <c r="J1125"/>
  <c r="J1124" s="1"/>
  <c r="J1123" s="1"/>
  <c r="J1122" s="1"/>
  <c r="J1121" s="1"/>
  <c r="E14" i="18" s="1"/>
  <c r="J1114" i="11"/>
  <c r="J1113" s="1"/>
  <c r="J1112" s="1"/>
  <c r="J1110"/>
  <c r="J1108"/>
  <c r="J1081"/>
  <c r="I1081"/>
  <c r="H1081"/>
  <c r="I980"/>
  <c r="F791" i="17" s="1"/>
  <c r="J980" i="11"/>
  <c r="G791" i="17" s="1"/>
  <c r="H980" i="11"/>
  <c r="E791" i="17" s="1"/>
  <c r="H976" i="11"/>
  <c r="E787" i="17" s="1"/>
  <c r="T787" s="1"/>
  <c r="J977" i="11"/>
  <c r="G788" i="17" s="1"/>
  <c r="I977" i="11"/>
  <c r="F788" i="17" s="1"/>
  <c r="H977" i="11"/>
  <c r="E788" i="17" s="1"/>
  <c r="T788" s="1"/>
  <c r="H562" i="11" l="1"/>
  <c r="N562" s="1"/>
  <c r="N563"/>
  <c r="J350"/>
  <c r="N351"/>
  <c r="J401"/>
  <c r="N402"/>
  <c r="J423"/>
  <c r="N423" s="1"/>
  <c r="N424"/>
  <c r="J447"/>
  <c r="N448"/>
  <c r="H578"/>
  <c r="N579"/>
  <c r="E223" i="17"/>
  <c r="T223" s="1"/>
  <c r="N797" i="11"/>
  <c r="H567"/>
  <c r="N568"/>
  <c r="J345"/>
  <c r="N346"/>
  <c r="J417"/>
  <c r="N418"/>
  <c r="J441"/>
  <c r="N442"/>
  <c r="J465"/>
  <c r="N465" s="1"/>
  <c r="N466"/>
  <c r="G725" i="17"/>
  <c r="V725" s="1"/>
  <c r="N480" i="11"/>
  <c r="E225" i="17"/>
  <c r="T225" s="1"/>
  <c r="N798" i="11"/>
  <c r="H572"/>
  <c r="N573"/>
  <c r="J339"/>
  <c r="N340"/>
  <c r="J411"/>
  <c r="N412"/>
  <c r="J437"/>
  <c r="N438"/>
  <c r="J488"/>
  <c r="N488" s="1"/>
  <c r="N489"/>
  <c r="J334"/>
  <c r="N334" s="1"/>
  <c r="N335"/>
  <c r="J461"/>
  <c r="N461" s="1"/>
  <c r="N462"/>
  <c r="G722" i="17"/>
  <c r="G721" s="1"/>
  <c r="V721" s="1"/>
  <c r="N477" i="11"/>
  <c r="E731" i="17"/>
  <c r="T731" s="1"/>
  <c r="H586" i="11"/>
  <c r="N587"/>
  <c r="J406"/>
  <c r="N407"/>
  <c r="J432"/>
  <c r="N433"/>
  <c r="J394"/>
  <c r="G730" i="17"/>
  <c r="E33" i="23" s="1"/>
  <c r="F730" i="17"/>
  <c r="U730" s="1"/>
  <c r="E383"/>
  <c r="T383" s="1"/>
  <c r="E790"/>
  <c r="T790" s="1"/>
  <c r="T791"/>
  <c r="F270"/>
  <c r="U270" s="1"/>
  <c r="U271"/>
  <c r="F285"/>
  <c r="U285" s="1"/>
  <c r="U286"/>
  <c r="F818"/>
  <c r="U818" s="1"/>
  <c r="U819"/>
  <c r="E818"/>
  <c r="T818" s="1"/>
  <c r="T819"/>
  <c r="G222"/>
  <c r="V222" s="1"/>
  <c r="V223"/>
  <c r="F58"/>
  <c r="U58" s="1"/>
  <c r="U59"/>
  <c r="F721"/>
  <c r="U721" s="1"/>
  <c r="U722"/>
  <c r="E270"/>
  <c r="T270" s="1"/>
  <c r="T271"/>
  <c r="F222"/>
  <c r="U222" s="1"/>
  <c r="U223"/>
  <c r="G744"/>
  <c r="V744" s="1"/>
  <c r="V746"/>
  <c r="E721"/>
  <c r="T721" s="1"/>
  <c r="T722"/>
  <c r="G786"/>
  <c r="V786" s="1"/>
  <c r="V788"/>
  <c r="F790"/>
  <c r="U790" s="1"/>
  <c r="U791"/>
  <c r="E285"/>
  <c r="T285" s="1"/>
  <c r="T286"/>
  <c r="F744"/>
  <c r="U744" s="1"/>
  <c r="U746"/>
  <c r="F786"/>
  <c r="U786" s="1"/>
  <c r="U788"/>
  <c r="G790"/>
  <c r="V790" s="1"/>
  <c r="V791"/>
  <c r="F277"/>
  <c r="U277" s="1"/>
  <c r="U278"/>
  <c r="F717"/>
  <c r="U717" s="1"/>
  <c r="U719"/>
  <c r="F35" i="35"/>
  <c r="F34" s="1"/>
  <c r="L20" i="33"/>
  <c r="J20"/>
  <c r="I20"/>
  <c r="I3" s="1"/>
  <c r="E814" i="17"/>
  <c r="E723"/>
  <c r="T723" s="1"/>
  <c r="E786"/>
  <c r="E717"/>
  <c r="T717" s="1"/>
  <c r="H462" i="11"/>
  <c r="H461" s="1"/>
  <c r="H453" s="1"/>
  <c r="H452" s="1"/>
  <c r="E55" i="17"/>
  <c r="I373" i="11"/>
  <c r="G814" i="17"/>
  <c r="V814" s="1"/>
  <c r="J357" i="11"/>
  <c r="J476"/>
  <c r="N476" s="1"/>
  <c r="J1191"/>
  <c r="G286" i="17"/>
  <c r="J615" i="11"/>
  <c r="J614" s="1"/>
  <c r="G377" i="17"/>
  <c r="V377" s="1"/>
  <c r="J1148" i="11"/>
  <c r="G251" i="17"/>
  <c r="J1165" i="11"/>
  <c r="J1162" s="1"/>
  <c r="G271" i="17"/>
  <c r="J478" i="11"/>
  <c r="N478" s="1"/>
  <c r="G724" i="17"/>
  <c r="J516" i="11"/>
  <c r="J510" s="1"/>
  <c r="J472"/>
  <c r="N472" s="1"/>
  <c r="G719" i="17"/>
  <c r="J1197" i="11"/>
  <c r="G304" i="17"/>
  <c r="J1189" i="11"/>
  <c r="G284" i="17"/>
  <c r="J1225" i="11"/>
  <c r="G819" i="17"/>
  <c r="J539" i="11"/>
  <c r="J538" s="1"/>
  <c r="J537" s="1"/>
  <c r="J536" s="1"/>
  <c r="J626"/>
  <c r="J625" s="1"/>
  <c r="J621" s="1"/>
  <c r="J620" s="1"/>
  <c r="T620" s="1"/>
  <c r="J1157"/>
  <c r="J1156" s="1"/>
  <c r="G260" i="17"/>
  <c r="J390" i="11"/>
  <c r="G266" i="17"/>
  <c r="V266" s="1"/>
  <c r="J554" i="11"/>
  <c r="J553" s="1"/>
  <c r="J549" s="1"/>
  <c r="J548" s="1"/>
  <c r="J542" s="1"/>
  <c r="E28" i="18" s="1"/>
  <c r="G425" i="17"/>
  <c r="J373" i="11"/>
  <c r="G58" i="17"/>
  <c r="V58" s="1"/>
  <c r="J323" i="11"/>
  <c r="J492"/>
  <c r="N492" s="1"/>
  <c r="J497"/>
  <c r="N497" s="1"/>
  <c r="J642"/>
  <c r="J641" s="1"/>
  <c r="J640" s="1"/>
  <c r="E32" i="18" s="1"/>
  <c r="J1221" i="11"/>
  <c r="H592"/>
  <c r="J1107"/>
  <c r="J1106" s="1"/>
  <c r="J1105" s="1"/>
  <c r="J1104" s="1"/>
  <c r="J1103" s="1"/>
  <c r="J1236"/>
  <c r="J1235" s="1"/>
  <c r="J1234" s="1"/>
  <c r="H1150"/>
  <c r="R1150" s="1"/>
  <c r="I1150"/>
  <c r="S1150" s="1"/>
  <c r="J1150"/>
  <c r="T1150" s="1"/>
  <c r="J1174"/>
  <c r="J1173" s="1"/>
  <c r="E20" i="18" s="1"/>
  <c r="J1207" i="11"/>
  <c r="J1206" s="1"/>
  <c r="J1129"/>
  <c r="J1128" s="1"/>
  <c r="J1127" s="1"/>
  <c r="E15" i="18" s="1"/>
  <c r="J947" i="11"/>
  <c r="G288" i="17" s="1"/>
  <c r="I947" i="11"/>
  <c r="F288" i="17" s="1"/>
  <c r="J919" i="11"/>
  <c r="I919"/>
  <c r="H919"/>
  <c r="E288" i="17"/>
  <c r="H952" i="11"/>
  <c r="E312" i="17"/>
  <c r="J453" i="11" l="1"/>
  <c r="N453" s="1"/>
  <c r="F267" i="17"/>
  <c r="U267" s="1"/>
  <c r="V722"/>
  <c r="J422" i="11"/>
  <c r="N422" s="1"/>
  <c r="E222" i="17"/>
  <c r="E221" s="1"/>
  <c r="E730"/>
  <c r="T730" s="1"/>
  <c r="J410" i="11"/>
  <c r="N411"/>
  <c r="H571"/>
  <c r="N572"/>
  <c r="J440"/>
  <c r="N440" s="1"/>
  <c r="N441"/>
  <c r="J344"/>
  <c r="N345"/>
  <c r="J446"/>
  <c r="N447"/>
  <c r="J400"/>
  <c r="N400" s="1"/>
  <c r="N401"/>
  <c r="J322"/>
  <c r="N323"/>
  <c r="N357"/>
  <c r="J431"/>
  <c r="N431" s="1"/>
  <c r="N432"/>
  <c r="H585"/>
  <c r="N585" s="1"/>
  <c r="N586"/>
  <c r="J372"/>
  <c r="N372" s="1"/>
  <c r="N373"/>
  <c r="F40" i="35"/>
  <c r="F39" s="1"/>
  <c r="F38" s="1"/>
  <c r="F29" s="1"/>
  <c r="N390" i="11"/>
  <c r="J436"/>
  <c r="N437"/>
  <c r="J338"/>
  <c r="N339"/>
  <c r="J416"/>
  <c r="N417"/>
  <c r="H566"/>
  <c r="N567"/>
  <c r="H577"/>
  <c r="N577" s="1"/>
  <c r="N578"/>
  <c r="J349"/>
  <c r="N349" s="1"/>
  <c r="N350"/>
  <c r="H591"/>
  <c r="N591" s="1"/>
  <c r="N592"/>
  <c r="J393"/>
  <c r="N394"/>
  <c r="J405"/>
  <c r="N405" s="1"/>
  <c r="N406"/>
  <c r="E267" i="17"/>
  <c r="T267" s="1"/>
  <c r="V730"/>
  <c r="G221"/>
  <c r="G220" s="1"/>
  <c r="V220" s="1"/>
  <c r="F57"/>
  <c r="G743"/>
  <c r="V743" s="1"/>
  <c r="G785"/>
  <c r="V785" s="1"/>
  <c r="F276"/>
  <c r="U276" s="1"/>
  <c r="F221"/>
  <c r="U221" s="1"/>
  <c r="F743"/>
  <c r="F742" s="1"/>
  <c r="U742" s="1"/>
  <c r="F785"/>
  <c r="F784" s="1"/>
  <c r="U784" s="1"/>
  <c r="E287"/>
  <c r="T287" s="1"/>
  <c r="T288"/>
  <c r="G307"/>
  <c r="V307" s="1"/>
  <c r="V308"/>
  <c r="G723"/>
  <c r="V723" s="1"/>
  <c r="V724"/>
  <c r="G421"/>
  <c r="V421" s="1"/>
  <c r="V425"/>
  <c r="G259"/>
  <c r="G258" s="1"/>
  <c r="V258" s="1"/>
  <c r="V260"/>
  <c r="G818"/>
  <c r="V818" s="1"/>
  <c r="V819"/>
  <c r="G303"/>
  <c r="V303" s="1"/>
  <c r="V304"/>
  <c r="E311"/>
  <c r="T311" s="1"/>
  <c r="T312"/>
  <c r="G270"/>
  <c r="V270" s="1"/>
  <c r="V271"/>
  <c r="F287"/>
  <c r="U287" s="1"/>
  <c r="U288"/>
  <c r="G287"/>
  <c r="V287" s="1"/>
  <c r="V288"/>
  <c r="G283"/>
  <c r="V283" s="1"/>
  <c r="V284"/>
  <c r="G717"/>
  <c r="V717" s="1"/>
  <c r="V719"/>
  <c r="G250"/>
  <c r="V250" s="1"/>
  <c r="V251"/>
  <c r="G285"/>
  <c r="V285" s="1"/>
  <c r="V286"/>
  <c r="E54"/>
  <c r="T54" s="1"/>
  <c r="T55"/>
  <c r="E785"/>
  <c r="T786"/>
  <c r="E813"/>
  <c r="T814"/>
  <c r="E716"/>
  <c r="G57"/>
  <c r="G8" s="1"/>
  <c r="H958" i="11"/>
  <c r="J471"/>
  <c r="J1220"/>
  <c r="J1219" s="1"/>
  <c r="J1218" s="1"/>
  <c r="E22" i="18" s="1"/>
  <c r="J487" i="11"/>
  <c r="J1188"/>
  <c r="J1181" s="1"/>
  <c r="J1180" s="1"/>
  <c r="J1179" s="1"/>
  <c r="J509"/>
  <c r="J508" s="1"/>
  <c r="J389"/>
  <c r="N389" s="1"/>
  <c r="G265" i="17"/>
  <c r="V265" s="1"/>
  <c r="J1160" i="11"/>
  <c r="J1159" s="1"/>
  <c r="G263" i="17"/>
  <c r="J598" i="11"/>
  <c r="J595" s="1"/>
  <c r="G355" i="17"/>
  <c r="G875"/>
  <c r="E875"/>
  <c r="T222" l="1"/>
  <c r="J452" i="11"/>
  <c r="N452" s="1"/>
  <c r="J421"/>
  <c r="N421" s="1"/>
  <c r="J415"/>
  <c r="N415" s="1"/>
  <c r="N416"/>
  <c r="N436"/>
  <c r="J430"/>
  <c r="N430" s="1"/>
  <c r="J321"/>
  <c r="N322"/>
  <c r="J343"/>
  <c r="N343" s="1"/>
  <c r="N344"/>
  <c r="H570"/>
  <c r="N570" s="1"/>
  <c r="N571"/>
  <c r="J470"/>
  <c r="N471"/>
  <c r="J392"/>
  <c r="N392" s="1"/>
  <c r="N393"/>
  <c r="H565"/>
  <c r="N565" s="1"/>
  <c r="N566"/>
  <c r="J337"/>
  <c r="N337" s="1"/>
  <c r="N338"/>
  <c r="J445"/>
  <c r="N446"/>
  <c r="J409"/>
  <c r="N409" s="1"/>
  <c r="N410"/>
  <c r="J356"/>
  <c r="J486"/>
  <c r="N487"/>
  <c r="U57" i="17"/>
  <c r="F8"/>
  <c r="U8" s="1"/>
  <c r="G784"/>
  <c r="V784" s="1"/>
  <c r="E53"/>
  <c r="T53" s="1"/>
  <c r="G742"/>
  <c r="V742" s="1"/>
  <c r="F220"/>
  <c r="U220" s="1"/>
  <c r="V221"/>
  <c r="U785"/>
  <c r="G420"/>
  <c r="G416" s="1"/>
  <c r="V259"/>
  <c r="G282"/>
  <c r="V282" s="1"/>
  <c r="U743"/>
  <c r="G716"/>
  <c r="G715" s="1"/>
  <c r="G813"/>
  <c r="V813" s="1"/>
  <c r="G267"/>
  <c r="V267" s="1"/>
  <c r="G354"/>
  <c r="V354" s="1"/>
  <c r="V355"/>
  <c r="E874"/>
  <c r="T875"/>
  <c r="G874"/>
  <c r="V875"/>
  <c r="G262"/>
  <c r="V262" s="1"/>
  <c r="V263"/>
  <c r="E715"/>
  <c r="T715" s="1"/>
  <c r="T716"/>
  <c r="E784"/>
  <c r="T784" s="1"/>
  <c r="T785"/>
  <c r="E220"/>
  <c r="T220" s="1"/>
  <c r="T221"/>
  <c r="V57"/>
  <c r="E812"/>
  <c r="T812" s="1"/>
  <c r="T813"/>
  <c r="J1172" i="11"/>
  <c r="J590"/>
  <c r="J584" s="1"/>
  <c r="J576" s="1"/>
  <c r="J575" s="1"/>
  <c r="J507" s="1"/>
  <c r="J1141"/>
  <c r="J1140" s="1"/>
  <c r="J1139" s="1"/>
  <c r="J1133" s="1"/>
  <c r="J1120" s="1"/>
  <c r="J388"/>
  <c r="G264" i="17"/>
  <c r="V264" s="1"/>
  <c r="F875"/>
  <c r="E449"/>
  <c r="J320" i="11" l="1"/>
  <c r="N320" s="1"/>
  <c r="N321"/>
  <c r="N356"/>
  <c r="J355"/>
  <c r="N355" s="1"/>
  <c r="N445"/>
  <c r="J420"/>
  <c r="N420" s="1"/>
  <c r="J451"/>
  <c r="N470"/>
  <c r="J387"/>
  <c r="N387" s="1"/>
  <c r="N388"/>
  <c r="E37" i="23"/>
  <c r="J485" i="11"/>
  <c r="N486"/>
  <c r="V874" i="17"/>
  <c r="G871"/>
  <c r="V871" s="1"/>
  <c r="T874"/>
  <c r="V420"/>
  <c r="E34" i="23"/>
  <c r="G812" i="17"/>
  <c r="E39" i="23" s="1"/>
  <c r="V716" i="17"/>
  <c r="G261"/>
  <c r="V261" s="1"/>
  <c r="G272"/>
  <c r="V272" s="1"/>
  <c r="F874"/>
  <c r="F871" s="1"/>
  <c r="U875"/>
  <c r="E448"/>
  <c r="T448" s="1"/>
  <c r="T449"/>
  <c r="G351"/>
  <c r="V351" s="1"/>
  <c r="G7"/>
  <c r="V8"/>
  <c r="E32" i="23"/>
  <c r="V715" i="17"/>
  <c r="G415"/>
  <c r="V416"/>
  <c r="J1102" i="11"/>
  <c r="K15" i="36" s="1"/>
  <c r="L15" s="1"/>
  <c r="K9"/>
  <c r="L9" s="1"/>
  <c r="J85" i="11"/>
  <c r="G523" i="17" s="1"/>
  <c r="I85" i="11"/>
  <c r="F523" i="17" s="1"/>
  <c r="H85" i="11"/>
  <c r="E523" i="17" s="1"/>
  <c r="N451" i="11" l="1"/>
  <c r="E29" i="18"/>
  <c r="J354" i="11"/>
  <c r="J484"/>
  <c r="N484" s="1"/>
  <c r="N485"/>
  <c r="V812" i="17"/>
  <c r="U874"/>
  <c r="G522"/>
  <c r="V522" s="1"/>
  <c r="V523"/>
  <c r="F522"/>
  <c r="F521" s="1"/>
  <c r="U523"/>
  <c r="G342"/>
  <c r="V342" s="1"/>
  <c r="E522"/>
  <c r="E521" s="1"/>
  <c r="T521" s="1"/>
  <c r="T523"/>
  <c r="E15" i="23"/>
  <c r="V415" i="17"/>
  <c r="V7"/>
  <c r="E7" i="23"/>
  <c r="F870" i="17"/>
  <c r="U870" s="1"/>
  <c r="U871"/>
  <c r="T522"/>
  <c r="T1101" i="11"/>
  <c r="R11"/>
  <c r="S11"/>
  <c r="T11"/>
  <c r="R14"/>
  <c r="S14"/>
  <c r="T14"/>
  <c r="R17"/>
  <c r="S17"/>
  <c r="T17"/>
  <c r="R22"/>
  <c r="S22"/>
  <c r="T22"/>
  <c r="R30"/>
  <c r="S30"/>
  <c r="T30"/>
  <c r="R35"/>
  <c r="S35"/>
  <c r="T35"/>
  <c r="R36"/>
  <c r="S36"/>
  <c r="T36"/>
  <c r="R43"/>
  <c r="S43"/>
  <c r="T43"/>
  <c r="R45"/>
  <c r="S45"/>
  <c r="T45"/>
  <c r="R51"/>
  <c r="S51"/>
  <c r="T51"/>
  <c r="R52"/>
  <c r="S52"/>
  <c r="T52"/>
  <c r="R54"/>
  <c r="S54"/>
  <c r="T54"/>
  <c r="R56"/>
  <c r="S56"/>
  <c r="T56"/>
  <c r="R57"/>
  <c r="S57"/>
  <c r="T57"/>
  <c r="R59"/>
  <c r="S59"/>
  <c r="T59"/>
  <c r="R72"/>
  <c r="S72"/>
  <c r="T72"/>
  <c r="R77"/>
  <c r="S77"/>
  <c r="T77"/>
  <c r="S82"/>
  <c r="T82"/>
  <c r="R85"/>
  <c r="S85"/>
  <c r="T85"/>
  <c r="R90"/>
  <c r="S90"/>
  <c r="T90"/>
  <c r="R93"/>
  <c r="S93"/>
  <c r="T93"/>
  <c r="R98"/>
  <c r="S98"/>
  <c r="T98"/>
  <c r="R102"/>
  <c r="S102"/>
  <c r="T102"/>
  <c r="R105"/>
  <c r="S105"/>
  <c r="T105"/>
  <c r="R108"/>
  <c r="S108"/>
  <c r="T108"/>
  <c r="R113"/>
  <c r="S113"/>
  <c r="T113"/>
  <c r="R117"/>
  <c r="S117"/>
  <c r="T117"/>
  <c r="R118"/>
  <c r="S118"/>
  <c r="T118"/>
  <c r="R119"/>
  <c r="S119"/>
  <c r="T119"/>
  <c r="S123"/>
  <c r="T123"/>
  <c r="R124"/>
  <c r="S124"/>
  <c r="T124"/>
  <c r="R132"/>
  <c r="S132"/>
  <c r="T132"/>
  <c r="R139"/>
  <c r="S139"/>
  <c r="T139"/>
  <c r="R146"/>
  <c r="S146"/>
  <c r="T146"/>
  <c r="R153"/>
  <c r="S153"/>
  <c r="T153"/>
  <c r="R159"/>
  <c r="S159"/>
  <c r="T159"/>
  <c r="R162"/>
  <c r="S162"/>
  <c r="T162"/>
  <c r="R163"/>
  <c r="S163"/>
  <c r="T163"/>
  <c r="R172"/>
  <c r="S172"/>
  <c r="T172"/>
  <c r="R175"/>
  <c r="S175"/>
  <c r="T175"/>
  <c r="S177"/>
  <c r="T177"/>
  <c r="R183"/>
  <c r="S183"/>
  <c r="T183"/>
  <c r="R185"/>
  <c r="S185"/>
  <c r="T185"/>
  <c r="R198"/>
  <c r="S198"/>
  <c r="T198"/>
  <c r="R206"/>
  <c r="S206"/>
  <c r="T206"/>
  <c r="S214"/>
  <c r="T214"/>
  <c r="R215"/>
  <c r="S215"/>
  <c r="T215"/>
  <c r="S217"/>
  <c r="T217"/>
  <c r="R222"/>
  <c r="R227"/>
  <c r="S227"/>
  <c r="T227"/>
  <c r="R229"/>
  <c r="S229"/>
  <c r="T229"/>
  <c r="R236"/>
  <c r="S236"/>
  <c r="T236"/>
  <c r="R237"/>
  <c r="S237"/>
  <c r="T237"/>
  <c r="R245"/>
  <c r="S245"/>
  <c r="T245"/>
  <c r="R250"/>
  <c r="S250"/>
  <c r="T250"/>
  <c r="R253"/>
  <c r="S253"/>
  <c r="T253"/>
  <c r="R256"/>
  <c r="S256"/>
  <c r="T256"/>
  <c r="R261"/>
  <c r="S261"/>
  <c r="T261"/>
  <c r="R266"/>
  <c r="S266"/>
  <c r="T266"/>
  <c r="R270"/>
  <c r="S270"/>
  <c r="T270"/>
  <c r="R278"/>
  <c r="S278"/>
  <c r="T278"/>
  <c r="R285"/>
  <c r="S285"/>
  <c r="T285"/>
  <c r="R288"/>
  <c r="S288"/>
  <c r="T288"/>
  <c r="R289"/>
  <c r="S289"/>
  <c r="T289"/>
  <c r="R292"/>
  <c r="S292"/>
  <c r="T292"/>
  <c r="R296"/>
  <c r="S296"/>
  <c r="T296"/>
  <c r="R299"/>
  <c r="S299"/>
  <c r="T299"/>
  <c r="R302"/>
  <c r="S302"/>
  <c r="T302"/>
  <c r="R309"/>
  <c r="S309"/>
  <c r="T309"/>
  <c r="R316"/>
  <c r="S316"/>
  <c r="T316"/>
  <c r="R317"/>
  <c r="S317"/>
  <c r="T317"/>
  <c r="R327"/>
  <c r="S327"/>
  <c r="T327"/>
  <c r="R329"/>
  <c r="S329"/>
  <c r="T329"/>
  <c r="R330"/>
  <c r="S330"/>
  <c r="T330"/>
  <c r="R331"/>
  <c r="S331"/>
  <c r="T331"/>
  <c r="R332"/>
  <c r="S332"/>
  <c r="T332"/>
  <c r="R333"/>
  <c r="S333"/>
  <c r="T333"/>
  <c r="R334"/>
  <c r="S334"/>
  <c r="T334"/>
  <c r="R335"/>
  <c r="S335"/>
  <c r="T335"/>
  <c r="R336"/>
  <c r="S336"/>
  <c r="T336"/>
  <c r="R347"/>
  <c r="S347"/>
  <c r="T347"/>
  <c r="R348"/>
  <c r="S348"/>
  <c r="T348"/>
  <c r="R353"/>
  <c r="S353"/>
  <c r="T353"/>
  <c r="R361"/>
  <c r="S361"/>
  <c r="T361"/>
  <c r="R364"/>
  <c r="S364"/>
  <c r="T364"/>
  <c r="R365"/>
  <c r="S365"/>
  <c r="T365"/>
  <c r="R373"/>
  <c r="S373"/>
  <c r="T373"/>
  <c r="R374"/>
  <c r="S374"/>
  <c r="T374"/>
  <c r="R375"/>
  <c r="S375"/>
  <c r="T375"/>
  <c r="R403"/>
  <c r="S403"/>
  <c r="T403"/>
  <c r="R404"/>
  <c r="S404"/>
  <c r="T404"/>
  <c r="R408"/>
  <c r="S408"/>
  <c r="T408"/>
  <c r="R413"/>
  <c r="S413"/>
  <c r="T413"/>
  <c r="R414"/>
  <c r="S414"/>
  <c r="T414"/>
  <c r="R419"/>
  <c r="S419"/>
  <c r="T419"/>
  <c r="R427"/>
  <c r="S427"/>
  <c r="T427"/>
  <c r="R428"/>
  <c r="S428"/>
  <c r="T428"/>
  <c r="R429"/>
  <c r="S429"/>
  <c r="T429"/>
  <c r="R439"/>
  <c r="S439"/>
  <c r="T439"/>
  <c r="R443"/>
  <c r="S443"/>
  <c r="T443"/>
  <c r="R444"/>
  <c r="S444"/>
  <c r="T444"/>
  <c r="R449"/>
  <c r="S449"/>
  <c r="T449"/>
  <c r="R450"/>
  <c r="S450"/>
  <c r="T450"/>
  <c r="R463"/>
  <c r="S463"/>
  <c r="T463"/>
  <c r="R464"/>
  <c r="S464"/>
  <c r="T464"/>
  <c r="R468"/>
  <c r="S468"/>
  <c r="T468"/>
  <c r="R469"/>
  <c r="S469"/>
  <c r="T469"/>
  <c r="R473"/>
  <c r="S473"/>
  <c r="T473"/>
  <c r="R474"/>
  <c r="S474"/>
  <c r="T474"/>
  <c r="R475"/>
  <c r="S475"/>
  <c r="T475"/>
  <c r="R480"/>
  <c r="S480"/>
  <c r="T480"/>
  <c r="R482"/>
  <c r="S482"/>
  <c r="T482"/>
  <c r="R483"/>
  <c r="S483"/>
  <c r="T483"/>
  <c r="R490"/>
  <c r="S490"/>
  <c r="T490"/>
  <c r="R494"/>
  <c r="S494"/>
  <c r="T494"/>
  <c r="R496"/>
  <c r="S496"/>
  <c r="T496"/>
  <c r="R501"/>
  <c r="S501"/>
  <c r="T501"/>
  <c r="R503"/>
  <c r="S503"/>
  <c r="T503"/>
  <c r="R505"/>
  <c r="S505"/>
  <c r="T505"/>
  <c r="R506"/>
  <c r="S506"/>
  <c r="T506"/>
  <c r="R514"/>
  <c r="S514"/>
  <c r="T514"/>
  <c r="R515"/>
  <c r="S515"/>
  <c r="T515"/>
  <c r="R523"/>
  <c r="S523"/>
  <c r="T523"/>
  <c r="R526"/>
  <c r="S526"/>
  <c r="T526"/>
  <c r="R541"/>
  <c r="S541"/>
  <c r="T541"/>
  <c r="R547"/>
  <c r="S547"/>
  <c r="T547"/>
  <c r="R552"/>
  <c r="S552"/>
  <c r="T552"/>
  <c r="R555"/>
  <c r="S555"/>
  <c r="T555"/>
  <c r="R556"/>
  <c r="S556"/>
  <c r="T556"/>
  <c r="R557"/>
  <c r="S557"/>
  <c r="T557"/>
  <c r="R561"/>
  <c r="S561"/>
  <c r="T561"/>
  <c r="R569"/>
  <c r="S569"/>
  <c r="T569"/>
  <c r="R574"/>
  <c r="S574"/>
  <c r="T574"/>
  <c r="R588"/>
  <c r="S588"/>
  <c r="T588"/>
  <c r="R589"/>
  <c r="S589"/>
  <c r="T589"/>
  <c r="R602"/>
  <c r="S602"/>
  <c r="T602"/>
  <c r="R603"/>
  <c r="S603"/>
  <c r="T603"/>
  <c r="R606"/>
  <c r="S606"/>
  <c r="T606"/>
  <c r="R607"/>
  <c r="S607"/>
  <c r="T607"/>
  <c r="R610"/>
  <c r="S610"/>
  <c r="T610"/>
  <c r="R613"/>
  <c r="S613"/>
  <c r="T613"/>
  <c r="R624"/>
  <c r="S624"/>
  <c r="T624"/>
  <c r="R628"/>
  <c r="S628"/>
  <c r="T628"/>
  <c r="R639"/>
  <c r="S639"/>
  <c r="T639"/>
  <c r="R644"/>
  <c r="S644"/>
  <c r="T644"/>
  <c r="R645"/>
  <c r="S645"/>
  <c r="T645"/>
  <c r="R646"/>
  <c r="S646"/>
  <c r="T646"/>
  <c r="R651"/>
  <c r="S651"/>
  <c r="T651"/>
  <c r="R660"/>
  <c r="S660"/>
  <c r="T660"/>
  <c r="R678"/>
  <c r="S678"/>
  <c r="T678"/>
  <c r="R681"/>
  <c r="S681"/>
  <c r="T681"/>
  <c r="R684"/>
  <c r="S684"/>
  <c r="T684"/>
  <c r="R686"/>
  <c r="S686"/>
  <c r="T686"/>
  <c r="R689"/>
  <c r="S689"/>
  <c r="T689"/>
  <c r="R690"/>
  <c r="S690"/>
  <c r="T690"/>
  <c r="R692"/>
  <c r="S692"/>
  <c r="T692"/>
  <c r="R693"/>
  <c r="S693"/>
  <c r="T693"/>
  <c r="R695"/>
  <c r="S695"/>
  <c r="T695"/>
  <c r="R696"/>
  <c r="S696"/>
  <c r="T696"/>
  <c r="R698"/>
  <c r="S698"/>
  <c r="T698"/>
  <c r="R699"/>
  <c r="S699"/>
  <c r="T699"/>
  <c r="R701"/>
  <c r="S701"/>
  <c r="T701"/>
  <c r="R702"/>
  <c r="S702"/>
  <c r="T702"/>
  <c r="R704"/>
  <c r="S704"/>
  <c r="T704"/>
  <c r="R705"/>
  <c r="S705"/>
  <c r="T705"/>
  <c r="R707"/>
  <c r="R708"/>
  <c r="R710"/>
  <c r="S710"/>
  <c r="T710"/>
  <c r="R711"/>
  <c r="S711"/>
  <c r="T711"/>
  <c r="R713"/>
  <c r="S713"/>
  <c r="T713"/>
  <c r="R718"/>
  <c r="S718"/>
  <c r="T718"/>
  <c r="R719"/>
  <c r="S719"/>
  <c r="T719"/>
  <c r="R727"/>
  <c r="S727"/>
  <c r="T727"/>
  <c r="R745"/>
  <c r="S745"/>
  <c r="T745"/>
  <c r="R747"/>
  <c r="S747"/>
  <c r="T747"/>
  <c r="R756"/>
  <c r="S756"/>
  <c r="T756"/>
  <c r="R759"/>
  <c r="S759"/>
  <c r="T759"/>
  <c r="R763"/>
  <c r="S763"/>
  <c r="T763"/>
  <c r="R769"/>
  <c r="S769"/>
  <c r="T769"/>
  <c r="R772"/>
  <c r="S772"/>
  <c r="T772"/>
  <c r="R774"/>
  <c r="S774"/>
  <c r="T774"/>
  <c r="R775"/>
  <c r="S775"/>
  <c r="T775"/>
  <c r="R777"/>
  <c r="S777"/>
  <c r="T777"/>
  <c r="R778"/>
  <c r="S778"/>
  <c r="T778"/>
  <c r="R789"/>
  <c r="S789"/>
  <c r="T789"/>
  <c r="R793"/>
  <c r="S793"/>
  <c r="T793"/>
  <c r="R797"/>
  <c r="S797"/>
  <c r="T797"/>
  <c r="R798"/>
  <c r="S798"/>
  <c r="T798"/>
  <c r="R801"/>
  <c r="S801"/>
  <c r="T801"/>
  <c r="R805"/>
  <c r="S805"/>
  <c r="T805"/>
  <c r="R806"/>
  <c r="S806"/>
  <c r="T806"/>
  <c r="R807"/>
  <c r="S807"/>
  <c r="T807"/>
  <c r="R811"/>
  <c r="S811"/>
  <c r="T811"/>
  <c r="R812"/>
  <c r="S812"/>
  <c r="T812"/>
  <c r="R814"/>
  <c r="S814"/>
  <c r="T814"/>
  <c r="R815"/>
  <c r="R816"/>
  <c r="S816"/>
  <c r="T816"/>
  <c r="R817"/>
  <c r="S817"/>
  <c r="T817"/>
  <c r="R830"/>
  <c r="S830"/>
  <c r="T830"/>
  <c r="R835"/>
  <c r="S835"/>
  <c r="T835"/>
  <c r="R848"/>
  <c r="S848"/>
  <c r="T848"/>
  <c r="R859"/>
  <c r="S859"/>
  <c r="T859"/>
  <c r="R862"/>
  <c r="S862"/>
  <c r="T862"/>
  <c r="R882"/>
  <c r="S882"/>
  <c r="T882"/>
  <c r="R884"/>
  <c r="S884"/>
  <c r="T884"/>
  <c r="R889"/>
  <c r="S889"/>
  <c r="T889"/>
  <c r="R890"/>
  <c r="S890"/>
  <c r="T890"/>
  <c r="R891"/>
  <c r="S891"/>
  <c r="T891"/>
  <c r="R896"/>
  <c r="S896"/>
  <c r="T896"/>
  <c r="R904"/>
  <c r="S904"/>
  <c r="T904"/>
  <c r="R906"/>
  <c r="S906"/>
  <c r="T906"/>
  <c r="R910"/>
  <c r="S910"/>
  <c r="T910"/>
  <c r="R911"/>
  <c r="S911"/>
  <c r="T911"/>
  <c r="R913"/>
  <c r="S913"/>
  <c r="T913"/>
  <c r="R921"/>
  <c r="S921"/>
  <c r="T921"/>
  <c r="R925"/>
  <c r="S925"/>
  <c r="T925"/>
  <c r="R934"/>
  <c r="S934"/>
  <c r="T934"/>
  <c r="R949"/>
  <c r="S949"/>
  <c r="T949"/>
  <c r="R951"/>
  <c r="S951"/>
  <c r="T951"/>
  <c r="R966"/>
  <c r="S966"/>
  <c r="T966"/>
  <c r="R968"/>
  <c r="S968"/>
  <c r="T968"/>
  <c r="R976"/>
  <c r="S976"/>
  <c r="T976"/>
  <c r="R978"/>
  <c r="S978"/>
  <c r="T978"/>
  <c r="R982"/>
  <c r="S982"/>
  <c r="T982"/>
  <c r="R983"/>
  <c r="S983"/>
  <c r="T983"/>
  <c r="R985"/>
  <c r="S985"/>
  <c r="T985"/>
  <c r="R995"/>
  <c r="S995"/>
  <c r="T995"/>
  <c r="S1002"/>
  <c r="T1002"/>
  <c r="R1019"/>
  <c r="S1019"/>
  <c r="T1019"/>
  <c r="R1021"/>
  <c r="S1021"/>
  <c r="T1021"/>
  <c r="R1028"/>
  <c r="S1028"/>
  <c r="T1028"/>
  <c r="R1030"/>
  <c r="S1030"/>
  <c r="T1030"/>
  <c r="R1040"/>
  <c r="S1040"/>
  <c r="T1040"/>
  <c r="R1044"/>
  <c r="S1044"/>
  <c r="T1044"/>
  <c r="R1045"/>
  <c r="S1045"/>
  <c r="T1045"/>
  <c r="R1047"/>
  <c r="S1047"/>
  <c r="T1047"/>
  <c r="R1059"/>
  <c r="S1059"/>
  <c r="T1059"/>
  <c r="S1066"/>
  <c r="T1066"/>
  <c r="R1083"/>
  <c r="S1083"/>
  <c r="T1083"/>
  <c r="R1085"/>
  <c r="S1085"/>
  <c r="T1085"/>
  <c r="S1087"/>
  <c r="T1087"/>
  <c r="R1094"/>
  <c r="S1094"/>
  <c r="T1094"/>
  <c r="R1096"/>
  <c r="S1096"/>
  <c r="T1096"/>
  <c r="R1100"/>
  <c r="S1100"/>
  <c r="T1100"/>
  <c r="R1109"/>
  <c r="S1109"/>
  <c r="T1109"/>
  <c r="R1111"/>
  <c r="S1111"/>
  <c r="T1111"/>
  <c r="R1115"/>
  <c r="S1115"/>
  <c r="T1115"/>
  <c r="R1138"/>
  <c r="S1138"/>
  <c r="T1138"/>
  <c r="R1143"/>
  <c r="S1143"/>
  <c r="T1143"/>
  <c r="R1145"/>
  <c r="S1145"/>
  <c r="T1145"/>
  <c r="R1147"/>
  <c r="S1147"/>
  <c r="T1147"/>
  <c r="R1166"/>
  <c r="S1166"/>
  <c r="T1166"/>
  <c r="R1171"/>
  <c r="S1171"/>
  <c r="T1171"/>
  <c r="R1184"/>
  <c r="S1184"/>
  <c r="T1184"/>
  <c r="R1187"/>
  <c r="S1187"/>
  <c r="T1187"/>
  <c r="R1192"/>
  <c r="S1192"/>
  <c r="T1192"/>
  <c r="R1196"/>
  <c r="S1196"/>
  <c r="T1196"/>
  <c r="R1205"/>
  <c r="S1205"/>
  <c r="T1205"/>
  <c r="R1214"/>
  <c r="S1214"/>
  <c r="T1214"/>
  <c r="R1217"/>
  <c r="S1217"/>
  <c r="T1217"/>
  <c r="R1223"/>
  <c r="S1223"/>
  <c r="T1223"/>
  <c r="R1224"/>
  <c r="S1224"/>
  <c r="T1224"/>
  <c r="R1233"/>
  <c r="S1233"/>
  <c r="T1233"/>
  <c r="R1240"/>
  <c r="S1240"/>
  <c r="T1240"/>
  <c r="T1241"/>
  <c r="R1249"/>
  <c r="S1249"/>
  <c r="T1249"/>
  <c r="R1253"/>
  <c r="S1253"/>
  <c r="T1253"/>
  <c r="R1255"/>
  <c r="S1255"/>
  <c r="T1255"/>
  <c r="R1261"/>
  <c r="S1261"/>
  <c r="T1261"/>
  <c r="R1263"/>
  <c r="S1263"/>
  <c r="T1263"/>
  <c r="R1266"/>
  <c r="S1266"/>
  <c r="T1266"/>
  <c r="R1267"/>
  <c r="S1267"/>
  <c r="T1267"/>
  <c r="R1269"/>
  <c r="S1269"/>
  <c r="T1269"/>
  <c r="R1276"/>
  <c r="S1276"/>
  <c r="T1276"/>
  <c r="R1283"/>
  <c r="S1283"/>
  <c r="T1283"/>
  <c r="S1301"/>
  <c r="T1301"/>
  <c r="S1302"/>
  <c r="T1302"/>
  <c r="R1320"/>
  <c r="S1320"/>
  <c r="T1320"/>
  <c r="R1321"/>
  <c r="S1321"/>
  <c r="T1321"/>
  <c r="R1329"/>
  <c r="S1329"/>
  <c r="T1329"/>
  <c r="R1332"/>
  <c r="S1332"/>
  <c r="T1332"/>
  <c r="R1334"/>
  <c r="S1334"/>
  <c r="T1334"/>
  <c r="R1338"/>
  <c r="S1338"/>
  <c r="T1338"/>
  <c r="R1344"/>
  <c r="S1344"/>
  <c r="T1344"/>
  <c r="R1361"/>
  <c r="S1361"/>
  <c r="T1361"/>
  <c r="R1365"/>
  <c r="S1365"/>
  <c r="T1365"/>
  <c r="R1379"/>
  <c r="S1379"/>
  <c r="T1379"/>
  <c r="R1382"/>
  <c r="S1382"/>
  <c r="T1382"/>
  <c r="R1384"/>
  <c r="S1384"/>
  <c r="T1384"/>
  <c r="T815"/>
  <c r="J810"/>
  <c r="T810" s="1"/>
  <c r="J804"/>
  <c r="J800"/>
  <c r="T800" s="1"/>
  <c r="J796"/>
  <c r="J792"/>
  <c r="J788"/>
  <c r="T780"/>
  <c r="J776"/>
  <c r="T776" s="1"/>
  <c r="J773"/>
  <c r="T773" s="1"/>
  <c r="T771"/>
  <c r="J768"/>
  <c r="J762"/>
  <c r="J758"/>
  <c r="J755"/>
  <c r="T755" s="1"/>
  <c r="J750"/>
  <c r="G207" i="17" s="1"/>
  <c r="J746" i="11"/>
  <c r="T746" s="1"/>
  <c r="J744"/>
  <c r="T744" s="1"/>
  <c r="T737"/>
  <c r="T731"/>
  <c r="J726"/>
  <c r="T726" s="1"/>
  <c r="J717"/>
  <c r="J712"/>
  <c r="T712" s="1"/>
  <c r="J709"/>
  <c r="T709" s="1"/>
  <c r="T708"/>
  <c r="J703"/>
  <c r="T703" s="1"/>
  <c r="J700"/>
  <c r="T700" s="1"/>
  <c r="T697"/>
  <c r="J694"/>
  <c r="T694" s="1"/>
  <c r="J691"/>
  <c r="T691" s="1"/>
  <c r="J688"/>
  <c r="T688" s="1"/>
  <c r="J683"/>
  <c r="T683" s="1"/>
  <c r="T679"/>
  <c r="J671"/>
  <c r="G337" i="17" s="1"/>
  <c r="J659" i="11"/>
  <c r="S815"/>
  <c r="H813"/>
  <c r="I810"/>
  <c r="S810" s="1"/>
  <c r="H810"/>
  <c r="I804"/>
  <c r="H804"/>
  <c r="N804" s="1"/>
  <c r="I800"/>
  <c r="S800" s="1"/>
  <c r="H800"/>
  <c r="I796"/>
  <c r="S796" s="1"/>
  <c r="H796"/>
  <c r="I792"/>
  <c r="H792"/>
  <c r="N792" s="1"/>
  <c r="I788"/>
  <c r="S788" s="1"/>
  <c r="H788"/>
  <c r="S780"/>
  <c r="R780"/>
  <c r="S776"/>
  <c r="H776"/>
  <c r="I773"/>
  <c r="S773" s="1"/>
  <c r="H773"/>
  <c r="S771"/>
  <c r="R771"/>
  <c r="I768"/>
  <c r="S768" s="1"/>
  <c r="H768"/>
  <c r="I762"/>
  <c r="H762"/>
  <c r="N762" s="1"/>
  <c r="I758"/>
  <c r="H758"/>
  <c r="I755"/>
  <c r="S755" s="1"/>
  <c r="H755"/>
  <c r="S753"/>
  <c r="R753"/>
  <c r="I750"/>
  <c r="F207" i="17" s="1"/>
  <c r="H750" i="11"/>
  <c r="I746"/>
  <c r="S746" s="1"/>
  <c r="R746"/>
  <c r="I744"/>
  <c r="S744" s="1"/>
  <c r="H744"/>
  <c r="S743"/>
  <c r="R743"/>
  <c r="S741"/>
  <c r="R741"/>
  <c r="S739"/>
  <c r="R739"/>
  <c r="S737"/>
  <c r="R737"/>
  <c r="S735"/>
  <c r="R735"/>
  <c r="S733"/>
  <c r="R733"/>
  <c r="S731"/>
  <c r="R731"/>
  <c r="S729"/>
  <c r="R729"/>
  <c r="I726"/>
  <c r="S726" s="1"/>
  <c r="H726"/>
  <c r="H724"/>
  <c r="N724" s="1"/>
  <c r="I717"/>
  <c r="H717"/>
  <c r="N717" s="1"/>
  <c r="S715"/>
  <c r="R715"/>
  <c r="I712"/>
  <c r="S712" s="1"/>
  <c r="H712"/>
  <c r="I709"/>
  <c r="S709" s="1"/>
  <c r="H709"/>
  <c r="S708"/>
  <c r="S707"/>
  <c r="H706"/>
  <c r="I703"/>
  <c r="S703" s="1"/>
  <c r="H703"/>
  <c r="I700"/>
  <c r="S700" s="1"/>
  <c r="H700"/>
  <c r="S697"/>
  <c r="H697"/>
  <c r="I694"/>
  <c r="S694" s="1"/>
  <c r="H694"/>
  <c r="I691"/>
  <c r="S691" s="1"/>
  <c r="H691"/>
  <c r="I688"/>
  <c r="S688" s="1"/>
  <c r="H688"/>
  <c r="S687"/>
  <c r="R687"/>
  <c r="I683"/>
  <c r="S683" s="1"/>
  <c r="H683"/>
  <c r="I671"/>
  <c r="H671"/>
  <c r="N671" s="1"/>
  <c r="I659"/>
  <c r="H659"/>
  <c r="N659" s="1"/>
  <c r="R744" l="1"/>
  <c r="N744"/>
  <c r="E207" i="17"/>
  <c r="T207" s="1"/>
  <c r="N750" i="11"/>
  <c r="R755"/>
  <c r="N755"/>
  <c r="R776"/>
  <c r="N776"/>
  <c r="R788"/>
  <c r="N788"/>
  <c r="R796"/>
  <c r="N796"/>
  <c r="R813"/>
  <c r="N813"/>
  <c r="R712"/>
  <c r="N712"/>
  <c r="J319"/>
  <c r="N354"/>
  <c r="R683"/>
  <c r="N683"/>
  <c r="R688"/>
  <c r="N688"/>
  <c r="R726"/>
  <c r="N726"/>
  <c r="R758"/>
  <c r="N758"/>
  <c r="R768"/>
  <c r="N768"/>
  <c r="R773"/>
  <c r="N773"/>
  <c r="R800"/>
  <c r="N800"/>
  <c r="R810"/>
  <c r="N810"/>
  <c r="R706"/>
  <c r="N706"/>
  <c r="R709"/>
  <c r="N709"/>
  <c r="R703"/>
  <c r="N703"/>
  <c r="R700"/>
  <c r="N700"/>
  <c r="R697"/>
  <c r="N697"/>
  <c r="R694"/>
  <c r="N694"/>
  <c r="R691"/>
  <c r="N691"/>
  <c r="U522" i="17"/>
  <c r="F206"/>
  <c r="U206" s="1"/>
  <c r="U207"/>
  <c r="G206"/>
  <c r="G205" s="1"/>
  <c r="V205" s="1"/>
  <c r="V207"/>
  <c r="G521"/>
  <c r="V521" s="1"/>
  <c r="E206"/>
  <c r="E205" s="1"/>
  <c r="G336"/>
  <c r="V336" s="1"/>
  <c r="V337"/>
  <c r="F517"/>
  <c r="U521"/>
  <c r="R671" i="11"/>
  <c r="E337" i="17"/>
  <c r="S671" i="11"/>
  <c r="F337" i="17"/>
  <c r="S758" i="11"/>
  <c r="I757"/>
  <c r="S757" s="1"/>
  <c r="H787"/>
  <c r="N787" s="1"/>
  <c r="J770"/>
  <c r="T770" s="1"/>
  <c r="T730"/>
  <c r="H779"/>
  <c r="H734"/>
  <c r="I754"/>
  <c r="S754" s="1"/>
  <c r="H736"/>
  <c r="I813"/>
  <c r="S813" s="1"/>
  <c r="J677"/>
  <c r="I770"/>
  <c r="S770" s="1"/>
  <c r="I779"/>
  <c r="S779" s="1"/>
  <c r="I787"/>
  <c r="I786" s="1"/>
  <c r="I752"/>
  <c r="S752" s="1"/>
  <c r="H740"/>
  <c r="H742"/>
  <c r="H770"/>
  <c r="N770" s="1"/>
  <c r="J813"/>
  <c r="T813" s="1"/>
  <c r="H738"/>
  <c r="S740"/>
  <c r="J779"/>
  <c r="T779" s="1"/>
  <c r="I685"/>
  <c r="S685" s="1"/>
  <c r="I706"/>
  <c r="S706" s="1"/>
  <c r="I714"/>
  <c r="S714" s="1"/>
  <c r="I728"/>
  <c r="S728" s="1"/>
  <c r="S730"/>
  <c r="S732"/>
  <c r="I734"/>
  <c r="S734" s="1"/>
  <c r="I736"/>
  <c r="S736" s="1"/>
  <c r="I738"/>
  <c r="S738" s="1"/>
  <c r="S742"/>
  <c r="H685"/>
  <c r="H714"/>
  <c r="H728"/>
  <c r="H730"/>
  <c r="H732"/>
  <c r="I658"/>
  <c r="S659"/>
  <c r="I680"/>
  <c r="S680" s="1"/>
  <c r="S682"/>
  <c r="H658"/>
  <c r="N658" s="1"/>
  <c r="R659"/>
  <c r="H680"/>
  <c r="R682"/>
  <c r="I677"/>
  <c r="S679"/>
  <c r="H677"/>
  <c r="N677" s="1"/>
  <c r="R679"/>
  <c r="H716"/>
  <c r="R717"/>
  <c r="H722"/>
  <c r="N722" s="1"/>
  <c r="R723"/>
  <c r="H761"/>
  <c r="N761" s="1"/>
  <c r="R762"/>
  <c r="S804"/>
  <c r="J658"/>
  <c r="T659"/>
  <c r="J680"/>
  <c r="T680" s="1"/>
  <c r="T682"/>
  <c r="J724"/>
  <c r="T724" s="1"/>
  <c r="T725"/>
  <c r="J728"/>
  <c r="T728" s="1"/>
  <c r="T729"/>
  <c r="T740"/>
  <c r="T741"/>
  <c r="T768"/>
  <c r="J791"/>
  <c r="T792"/>
  <c r="T804"/>
  <c r="I670"/>
  <c r="H670"/>
  <c r="N670" s="1"/>
  <c r="H752"/>
  <c r="N752" s="1"/>
  <c r="H754"/>
  <c r="H757"/>
  <c r="I795"/>
  <c r="I799"/>
  <c r="S799" s="1"/>
  <c r="J754"/>
  <c r="T754" s="1"/>
  <c r="I724"/>
  <c r="S724" s="1"/>
  <c r="S725"/>
  <c r="I749"/>
  <c r="S750"/>
  <c r="R804"/>
  <c r="J716"/>
  <c r="T716" s="1"/>
  <c r="T717"/>
  <c r="T732"/>
  <c r="T733"/>
  <c r="T742"/>
  <c r="T743"/>
  <c r="J752"/>
  <c r="T753"/>
  <c r="J761"/>
  <c r="T762"/>
  <c r="J782"/>
  <c r="T783"/>
  <c r="H795"/>
  <c r="N795" s="1"/>
  <c r="H799"/>
  <c r="J736"/>
  <c r="T736" s="1"/>
  <c r="R724"/>
  <c r="R725"/>
  <c r="H749"/>
  <c r="N749" s="1"/>
  <c r="R750"/>
  <c r="I782"/>
  <c r="S783"/>
  <c r="I791"/>
  <c r="S792"/>
  <c r="I808"/>
  <c r="S808" s="1"/>
  <c r="S809"/>
  <c r="J685"/>
  <c r="T685" s="1"/>
  <c r="T687"/>
  <c r="J734"/>
  <c r="T734" s="1"/>
  <c r="T735"/>
  <c r="J749"/>
  <c r="T750"/>
  <c r="J757"/>
  <c r="T757" s="1"/>
  <c r="T758"/>
  <c r="J799"/>
  <c r="T799" s="1"/>
  <c r="I716"/>
  <c r="S716" s="1"/>
  <c r="S717"/>
  <c r="I722"/>
  <c r="S723"/>
  <c r="I761"/>
  <c r="S762"/>
  <c r="H782"/>
  <c r="N782" s="1"/>
  <c r="R783"/>
  <c r="H791"/>
  <c r="N791" s="1"/>
  <c r="R792"/>
  <c r="H808"/>
  <c r="R809"/>
  <c r="J670"/>
  <c r="T671"/>
  <c r="J706"/>
  <c r="T706" s="1"/>
  <c r="T707"/>
  <c r="J714"/>
  <c r="T714" s="1"/>
  <c r="T715"/>
  <c r="J722"/>
  <c r="T723"/>
  <c r="J738"/>
  <c r="T738" s="1"/>
  <c r="T739"/>
  <c r="J787"/>
  <c r="J786" s="1"/>
  <c r="T788"/>
  <c r="J795"/>
  <c r="T796"/>
  <c r="J808"/>
  <c r="T808" s="1"/>
  <c r="T809"/>
  <c r="R757" l="1"/>
  <c r="N757"/>
  <c r="R728"/>
  <c r="N728"/>
  <c r="R734"/>
  <c r="N734"/>
  <c r="N319"/>
  <c r="J318"/>
  <c r="R680"/>
  <c r="N680"/>
  <c r="R730"/>
  <c r="N730"/>
  <c r="R738"/>
  <c r="N738"/>
  <c r="R740"/>
  <c r="N740"/>
  <c r="R808"/>
  <c r="N808"/>
  <c r="R799"/>
  <c r="N799"/>
  <c r="R732"/>
  <c r="N732"/>
  <c r="R685"/>
  <c r="N685"/>
  <c r="R742"/>
  <c r="N742"/>
  <c r="R736"/>
  <c r="N736"/>
  <c r="R754"/>
  <c r="N754"/>
  <c r="R779"/>
  <c r="N779"/>
  <c r="R714"/>
  <c r="N714"/>
  <c r="R716"/>
  <c r="N716"/>
  <c r="G335" i="17"/>
  <c r="V335" s="1"/>
  <c r="V206"/>
  <c r="T206"/>
  <c r="F336"/>
  <c r="U336" s="1"/>
  <c r="U337"/>
  <c r="G517"/>
  <c r="V517" s="1"/>
  <c r="F205"/>
  <c r="F174" s="1"/>
  <c r="E336"/>
  <c r="T336" s="1"/>
  <c r="T337"/>
  <c r="E174"/>
  <c r="T205"/>
  <c r="F516"/>
  <c r="U516" s="1"/>
  <c r="U517"/>
  <c r="R787" i="11"/>
  <c r="H786"/>
  <c r="H676"/>
  <c r="N676" s="1"/>
  <c r="S782"/>
  <c r="E5" i="35"/>
  <c r="E4" s="1"/>
  <c r="E3" s="1"/>
  <c r="I781" i="11"/>
  <c r="S781" s="1"/>
  <c r="T782"/>
  <c r="J781"/>
  <c r="T781" s="1"/>
  <c r="F5" i="35"/>
  <c r="F4" s="1"/>
  <c r="F3" s="1"/>
  <c r="F2" s="1"/>
  <c r="R782" i="11"/>
  <c r="D5" i="35"/>
  <c r="D4" s="1"/>
  <c r="D3" s="1"/>
  <c r="H781" i="11"/>
  <c r="J721"/>
  <c r="T721" s="1"/>
  <c r="I721"/>
  <c r="S721" s="1"/>
  <c r="H721"/>
  <c r="N721" s="1"/>
  <c r="T677"/>
  <c r="J676"/>
  <c r="S677"/>
  <c r="I676"/>
  <c r="S676" s="1"/>
  <c r="T722"/>
  <c r="S722"/>
  <c r="G174" i="17"/>
  <c r="I751" i="11"/>
  <c r="S751" s="1"/>
  <c r="S786"/>
  <c r="S787"/>
  <c r="I767"/>
  <c r="S767" s="1"/>
  <c r="J767"/>
  <c r="T767" s="1"/>
  <c r="R770"/>
  <c r="H767"/>
  <c r="H803"/>
  <c r="J751"/>
  <c r="T751" s="1"/>
  <c r="T752"/>
  <c r="I669"/>
  <c r="S670"/>
  <c r="J790"/>
  <c r="T791"/>
  <c r="J657"/>
  <c r="T658"/>
  <c r="H657"/>
  <c r="N657" s="1"/>
  <c r="R658"/>
  <c r="I657"/>
  <c r="S658"/>
  <c r="J794"/>
  <c r="T794" s="1"/>
  <c r="T795"/>
  <c r="J669"/>
  <c r="T670"/>
  <c r="H790"/>
  <c r="N790" s="1"/>
  <c r="R791"/>
  <c r="J748"/>
  <c r="T748" s="1"/>
  <c r="T749"/>
  <c r="I794"/>
  <c r="S794" s="1"/>
  <c r="S795"/>
  <c r="H669"/>
  <c r="N669" s="1"/>
  <c r="R670"/>
  <c r="H794"/>
  <c r="R795"/>
  <c r="J760"/>
  <c r="T760" s="1"/>
  <c r="T761"/>
  <c r="I748"/>
  <c r="S748" s="1"/>
  <c r="S749"/>
  <c r="H751"/>
  <c r="R752"/>
  <c r="H760"/>
  <c r="R761"/>
  <c r="R722"/>
  <c r="R677"/>
  <c r="J803"/>
  <c r="I803"/>
  <c r="T786"/>
  <c r="T787"/>
  <c r="I760"/>
  <c r="S760" s="1"/>
  <c r="S761"/>
  <c r="I790"/>
  <c r="S791"/>
  <c r="H748"/>
  <c r="R749"/>
  <c r="R781" l="1"/>
  <c r="N781"/>
  <c r="R767"/>
  <c r="N767"/>
  <c r="H802"/>
  <c r="N803"/>
  <c r="R786"/>
  <c r="N786"/>
  <c r="R751"/>
  <c r="N751"/>
  <c r="R748"/>
  <c r="N748"/>
  <c r="R760"/>
  <c r="N760"/>
  <c r="R794"/>
  <c r="N794"/>
  <c r="N318"/>
  <c r="K8" i="36"/>
  <c r="L8" s="1"/>
  <c r="G516" i="17"/>
  <c r="V516" s="1"/>
  <c r="E335"/>
  <c r="T335" s="1"/>
  <c r="G334"/>
  <c r="G333" s="1"/>
  <c r="U205"/>
  <c r="F335"/>
  <c r="F334" s="1"/>
  <c r="U334" s="1"/>
  <c r="E111"/>
  <c r="T111" s="1"/>
  <c r="T174"/>
  <c r="F111"/>
  <c r="U111" s="1"/>
  <c r="U174"/>
  <c r="G111"/>
  <c r="V174"/>
  <c r="I675" i="11"/>
  <c r="S675" s="1"/>
  <c r="I766"/>
  <c r="I765" s="1"/>
  <c r="S765" s="1"/>
  <c r="R803"/>
  <c r="J766"/>
  <c r="H766"/>
  <c r="I720"/>
  <c r="J802"/>
  <c r="T802" s="1"/>
  <c r="T803"/>
  <c r="H720"/>
  <c r="R721"/>
  <c r="H668"/>
  <c r="N668" s="1"/>
  <c r="R669"/>
  <c r="J668"/>
  <c r="T669"/>
  <c r="H656"/>
  <c r="R657"/>
  <c r="J785"/>
  <c r="T790"/>
  <c r="I802"/>
  <c r="S802" s="1"/>
  <c r="S803"/>
  <c r="J675"/>
  <c r="T676"/>
  <c r="S790"/>
  <c r="I785"/>
  <c r="H675"/>
  <c r="N675" s="1"/>
  <c r="R676"/>
  <c r="R790"/>
  <c r="H785"/>
  <c r="N785" s="1"/>
  <c r="I656"/>
  <c r="S657"/>
  <c r="J656"/>
  <c r="T657"/>
  <c r="I668"/>
  <c r="S669"/>
  <c r="J720"/>
  <c r="T720" s="1"/>
  <c r="R802" l="1"/>
  <c r="N802"/>
  <c r="R720"/>
  <c r="N720"/>
  <c r="H765"/>
  <c r="N765" s="1"/>
  <c r="N766"/>
  <c r="H655"/>
  <c r="N655" s="1"/>
  <c r="N656"/>
  <c r="E334" i="17"/>
  <c r="T334" s="1"/>
  <c r="E20" i="23"/>
  <c r="V334" i="17"/>
  <c r="U335"/>
  <c r="E9" i="23"/>
  <c r="V111" i="17"/>
  <c r="E13" i="23"/>
  <c r="V333" i="17"/>
  <c r="S766" i="11"/>
  <c r="R766"/>
  <c r="I764"/>
  <c r="S764" s="1"/>
  <c r="J765"/>
  <c r="T766"/>
  <c r="S720"/>
  <c r="I674"/>
  <c r="R656"/>
  <c r="J667"/>
  <c r="T668"/>
  <c r="I655"/>
  <c r="S656"/>
  <c r="H674"/>
  <c r="N674" s="1"/>
  <c r="R675"/>
  <c r="J674"/>
  <c r="T675"/>
  <c r="J784"/>
  <c r="T785"/>
  <c r="H667"/>
  <c r="N667" s="1"/>
  <c r="R668"/>
  <c r="J655"/>
  <c r="T656"/>
  <c r="I784"/>
  <c r="S784" s="1"/>
  <c r="S785"/>
  <c r="I667"/>
  <c r="S668"/>
  <c r="H784"/>
  <c r="R785"/>
  <c r="R765" l="1"/>
  <c r="R784"/>
  <c r="N784"/>
  <c r="H764"/>
  <c r="N764" s="1"/>
  <c r="T784"/>
  <c r="E36" i="18"/>
  <c r="T765" i="11"/>
  <c r="J764"/>
  <c r="T764" s="1"/>
  <c r="S674"/>
  <c r="I673"/>
  <c r="S673" s="1"/>
  <c r="H666"/>
  <c r="N666" s="1"/>
  <c r="R667"/>
  <c r="J673"/>
  <c r="T674"/>
  <c r="I654"/>
  <c r="S654" s="1"/>
  <c r="S655"/>
  <c r="J666"/>
  <c r="T667"/>
  <c r="I666"/>
  <c r="S667"/>
  <c r="J654"/>
  <c r="T654" s="1"/>
  <c r="T655"/>
  <c r="H673"/>
  <c r="R674"/>
  <c r="H654"/>
  <c r="R655"/>
  <c r="R764" l="1"/>
  <c r="R654"/>
  <c r="N654"/>
  <c r="R673"/>
  <c r="N673"/>
  <c r="I672"/>
  <c r="S672" s="1"/>
  <c r="H672"/>
  <c r="H665"/>
  <c r="R666"/>
  <c r="I665"/>
  <c r="S665" s="1"/>
  <c r="S666"/>
  <c r="J665"/>
  <c r="T665" s="1"/>
  <c r="T666"/>
  <c r="T673"/>
  <c r="J672"/>
  <c r="R665" l="1"/>
  <c r="N665"/>
  <c r="R672"/>
  <c r="N672"/>
  <c r="I653"/>
  <c r="H653"/>
  <c r="N653" s="1"/>
  <c r="J653"/>
  <c r="K10" i="36" s="1"/>
  <c r="T672" i="11"/>
  <c r="S653" l="1"/>
  <c r="S652"/>
  <c r="T653"/>
  <c r="T652"/>
  <c r="R653"/>
  <c r="J888"/>
  <c r="T888" s="1"/>
  <c r="J883"/>
  <c r="T883" s="1"/>
  <c r="J881"/>
  <c r="T881" s="1"/>
  <c r="J872"/>
  <c r="T867"/>
  <c r="J861"/>
  <c r="J858"/>
  <c r="T858" s="1"/>
  <c r="J856"/>
  <c r="G402" i="17" s="1"/>
  <c r="V402" s="1"/>
  <c r="J855" i="11"/>
  <c r="J847"/>
  <c r="J834"/>
  <c r="J829"/>
  <c r="T825"/>
  <c r="J824"/>
  <c r="T1260"/>
  <c r="T1254"/>
  <c r="S1260"/>
  <c r="J1268"/>
  <c r="T1268" s="1"/>
  <c r="J1265"/>
  <c r="T1265" s="1"/>
  <c r="J1282"/>
  <c r="G324" i="17" s="1"/>
  <c r="J1275" i="11"/>
  <c r="T1275" s="1"/>
  <c r="J1312"/>
  <c r="R1296"/>
  <c r="R1260"/>
  <c r="S1254"/>
  <c r="R1254"/>
  <c r="S1257"/>
  <c r="T1257"/>
  <c r="R1257"/>
  <c r="D4" i="25"/>
  <c r="F4" s="1"/>
  <c r="L4" s="1"/>
  <c r="D5"/>
  <c r="F5" s="1"/>
  <c r="L5" s="1"/>
  <c r="D6"/>
  <c r="F6" s="1"/>
  <c r="L6" s="1"/>
  <c r="D7"/>
  <c r="F7" s="1"/>
  <c r="L7" s="1"/>
  <c r="D8"/>
  <c r="F8" s="1"/>
  <c r="L8" s="1"/>
  <c r="D9"/>
  <c r="F9" s="1"/>
  <c r="L9" s="1"/>
  <c r="D10"/>
  <c r="F10" s="1"/>
  <c r="L10" s="1"/>
  <c r="D11"/>
  <c r="F11" s="1"/>
  <c r="L11" s="1"/>
  <c r="D12"/>
  <c r="F12" s="1"/>
  <c r="L12" s="1"/>
  <c r="D13"/>
  <c r="F13" s="1"/>
  <c r="L13" s="1"/>
  <c r="D14"/>
  <c r="F14" s="1"/>
  <c r="L14" s="1"/>
  <c r="D15"/>
  <c r="F15" s="1"/>
  <c r="L15" s="1"/>
  <c r="D16"/>
  <c r="F16" s="1"/>
  <c r="L16" s="1"/>
  <c r="D17"/>
  <c r="F17" s="1"/>
  <c r="L17" s="1"/>
  <c r="D18"/>
  <c r="F18" s="1"/>
  <c r="L18" s="1"/>
  <c r="D3"/>
  <c r="F3" s="1"/>
  <c r="L3" s="1"/>
  <c r="E20"/>
  <c r="E31" s="1"/>
  <c r="H1053" i="11"/>
  <c r="R1053" s="1"/>
  <c r="R1068"/>
  <c r="I1042"/>
  <c r="J1039"/>
  <c r="J1068"/>
  <c r="T1068" s="1"/>
  <c r="R1081"/>
  <c r="S1081"/>
  <c r="T1081"/>
  <c r="I1068"/>
  <c r="S1068" s="1"/>
  <c r="H1084"/>
  <c r="R1084" s="1"/>
  <c r="J1065"/>
  <c r="T1065" s="1"/>
  <c r="I1065"/>
  <c r="S1065" s="1"/>
  <c r="T1046"/>
  <c r="T1075"/>
  <c r="S1075"/>
  <c r="R1075"/>
  <c r="R1066"/>
  <c r="J1053"/>
  <c r="T1053" s="1"/>
  <c r="I1053"/>
  <c r="S1053" s="1"/>
  <c r="I1055"/>
  <c r="S1055" s="1"/>
  <c r="J1055"/>
  <c r="T1055" s="1"/>
  <c r="H1055"/>
  <c r="J1042"/>
  <c r="H1042"/>
  <c r="I1039"/>
  <c r="H1039"/>
  <c r="S977"/>
  <c r="R977"/>
  <c r="J991"/>
  <c r="I991"/>
  <c r="H991"/>
  <c r="S980"/>
  <c r="R980"/>
  <c r="T1017"/>
  <c r="S1017"/>
  <c r="R1017"/>
  <c r="J1004"/>
  <c r="I1004"/>
  <c r="H1004"/>
  <c r="R1002"/>
  <c r="S1011"/>
  <c r="R1011"/>
  <c r="J1029"/>
  <c r="T1029" s="1"/>
  <c r="J1027"/>
  <c r="T1027" s="1"/>
  <c r="S947"/>
  <c r="J932"/>
  <c r="I932"/>
  <c r="S932" s="1"/>
  <c r="J905"/>
  <c r="G774" i="17" s="1"/>
  <c r="I905" i="11"/>
  <c r="H905"/>
  <c r="J908"/>
  <c r="G777" i="17" s="1"/>
  <c r="I908" i="11"/>
  <c r="H908"/>
  <c r="S919"/>
  <c r="R919"/>
  <c r="R947"/>
  <c r="R932"/>
  <c r="S941"/>
  <c r="R941"/>
  <c r="J1001"/>
  <c r="T1001" s="1"/>
  <c r="J994"/>
  <c r="T984"/>
  <c r="T981"/>
  <c r="J967"/>
  <c r="T967" s="1"/>
  <c r="J965"/>
  <c r="T965" s="1"/>
  <c r="J950"/>
  <c r="T950" s="1"/>
  <c r="J948"/>
  <c r="T948" s="1"/>
  <c r="J933"/>
  <c r="T933" s="1"/>
  <c r="J924"/>
  <c r="J920"/>
  <c r="T920" s="1"/>
  <c r="J912"/>
  <c r="T912" s="1"/>
  <c r="J909"/>
  <c r="T909" s="1"/>
  <c r="J1350"/>
  <c r="I1350"/>
  <c r="H1350"/>
  <c r="J1347"/>
  <c r="I1347"/>
  <c r="H1347"/>
  <c r="T1333"/>
  <c r="S1333"/>
  <c r="J1342"/>
  <c r="J1337"/>
  <c r="T1337" s="1"/>
  <c r="T1343"/>
  <c r="S1343"/>
  <c r="R1343"/>
  <c r="I1364"/>
  <c r="J1364"/>
  <c r="H1364"/>
  <c r="J1362"/>
  <c r="I1362"/>
  <c r="H1362"/>
  <c r="S1376"/>
  <c r="R1376"/>
  <c r="S1372"/>
  <c r="S1373"/>
  <c r="H1374"/>
  <c r="R1373"/>
  <c r="R1372"/>
  <c r="T274"/>
  <c r="S274"/>
  <c r="R274"/>
  <c r="H271"/>
  <c r="I271"/>
  <c r="F710" i="17" s="1"/>
  <c r="I260" i="11"/>
  <c r="F504" i="17" s="1"/>
  <c r="U504" s="1"/>
  <c r="R260" i="11"/>
  <c r="J244"/>
  <c r="I244"/>
  <c r="H244"/>
  <c r="H217"/>
  <c r="R214"/>
  <c r="J171"/>
  <c r="I171"/>
  <c r="H171"/>
  <c r="J187"/>
  <c r="I187"/>
  <c r="S184"/>
  <c r="H187"/>
  <c r="R184"/>
  <c r="J179"/>
  <c r="I179"/>
  <c r="H179"/>
  <c r="H82"/>
  <c r="E453" i="17" l="1"/>
  <c r="E452" s="1"/>
  <c r="T452" s="1"/>
  <c r="G776"/>
  <c r="V776" s="1"/>
  <c r="V777"/>
  <c r="F708"/>
  <c r="U708" s="1"/>
  <c r="U710"/>
  <c r="G772"/>
  <c r="V772" s="1"/>
  <c r="V774"/>
  <c r="G323"/>
  <c r="V324"/>
  <c r="E25" i="35"/>
  <c r="E24" s="1"/>
  <c r="H28" i="33"/>
  <c r="G453" i="17"/>
  <c r="G247"/>
  <c r="F453"/>
  <c r="R1362" i="11"/>
  <c r="E852" i="17"/>
  <c r="R908" i="11"/>
  <c r="E777" i="17"/>
  <c r="S905" i="11"/>
  <c r="F774" i="17"/>
  <c r="R1042" i="11"/>
  <c r="E805" i="17"/>
  <c r="S187" i="11"/>
  <c r="F695" i="17"/>
  <c r="S171" i="11"/>
  <c r="F443" i="17"/>
  <c r="R1374" i="11"/>
  <c r="E861" i="17"/>
  <c r="R1364" i="11"/>
  <c r="E854" i="17"/>
  <c r="S1347" i="11"/>
  <c r="F601" i="17"/>
  <c r="R905" i="11"/>
  <c r="E774" i="17"/>
  <c r="S1004" i="11"/>
  <c r="F247" i="17"/>
  <c r="S991" i="11"/>
  <c r="F451" i="17"/>
  <c r="S1039" i="11"/>
  <c r="F802" i="17"/>
  <c r="U802" s="1"/>
  <c r="R217" i="11"/>
  <c r="E704" i="17"/>
  <c r="R1347" i="11"/>
  <c r="E601" i="17"/>
  <c r="S1350" i="11"/>
  <c r="F604" i="17"/>
  <c r="R1004" i="11"/>
  <c r="E247" i="17"/>
  <c r="R991" i="11"/>
  <c r="E451" i="17"/>
  <c r="R1039" i="11"/>
  <c r="E802" i="17"/>
  <c r="T802" s="1"/>
  <c r="S1042" i="11"/>
  <c r="F805" i="17"/>
  <c r="G591"/>
  <c r="R187" i="11"/>
  <c r="E695" i="17"/>
  <c r="R171" i="11"/>
  <c r="E443" i="17"/>
  <c r="R82" i="11"/>
  <c r="E520" i="17"/>
  <c r="R271" i="11"/>
  <c r="E710" i="17"/>
  <c r="S1362" i="11"/>
  <c r="F852" i="17"/>
  <c r="S1364" i="11"/>
  <c r="F854" i="17"/>
  <c r="R1350" i="11"/>
  <c r="E604" i="17"/>
  <c r="S908" i="11"/>
  <c r="F777" i="17"/>
  <c r="J1067" i="11"/>
  <c r="T1067" s="1"/>
  <c r="R179"/>
  <c r="S179"/>
  <c r="G451" i="17"/>
  <c r="T1373" i="11"/>
  <c r="G860" i="17"/>
  <c r="V860" s="1"/>
  <c r="T187" i="11"/>
  <c r="G695" i="17"/>
  <c r="T171" i="11"/>
  <c r="G443" i="17"/>
  <c r="T1372" i="11"/>
  <c r="G859" i="17"/>
  <c r="V859" s="1"/>
  <c r="T1364" i="11"/>
  <c r="G854" i="17"/>
  <c r="T1347" i="11"/>
  <c r="G601" i="17"/>
  <c r="T184" i="11"/>
  <c r="G692" i="17"/>
  <c r="T179" i="11"/>
  <c r="T1376"/>
  <c r="G863" i="17"/>
  <c r="T1342" i="11"/>
  <c r="G596" i="17"/>
  <c r="T1350" i="11"/>
  <c r="G604" i="17"/>
  <c r="T1374" i="11"/>
  <c r="G861" i="17"/>
  <c r="V861" s="1"/>
  <c r="T1362" i="11"/>
  <c r="G852" i="17"/>
  <c r="T1042" i="11"/>
  <c r="G805" i="17"/>
  <c r="T1039" i="11"/>
  <c r="G802" i="17"/>
  <c r="V802" s="1"/>
  <c r="T855" i="11"/>
  <c r="G401" i="17"/>
  <c r="E29" i="25"/>
  <c r="F31"/>
  <c r="L31" s="1"/>
  <c r="T829" i="11"/>
  <c r="J828"/>
  <c r="T824"/>
  <c r="J823"/>
  <c r="J822" s="1"/>
  <c r="H1295"/>
  <c r="J243"/>
  <c r="T244"/>
  <c r="J1352"/>
  <c r="T1353"/>
  <c r="J940"/>
  <c r="T941"/>
  <c r="J979"/>
  <c r="T979" s="1"/>
  <c r="T980"/>
  <c r="I1295"/>
  <c r="S1295" s="1"/>
  <c r="S1296"/>
  <c r="T1311"/>
  <c r="J860"/>
  <c r="T860" s="1"/>
  <c r="T861"/>
  <c r="J871"/>
  <c r="T872"/>
  <c r="J892"/>
  <c r="T892" s="1"/>
  <c r="T893"/>
  <c r="J1274"/>
  <c r="J1273" s="1"/>
  <c r="I243"/>
  <c r="S244"/>
  <c r="J271"/>
  <c r="S271"/>
  <c r="J993"/>
  <c r="T993" s="1"/>
  <c r="T994"/>
  <c r="J918"/>
  <c r="T918" s="1"/>
  <c r="T919"/>
  <c r="J931"/>
  <c r="T932"/>
  <c r="J990"/>
  <c r="T991"/>
  <c r="T1313"/>
  <c r="J833"/>
  <c r="T834"/>
  <c r="J850"/>
  <c r="T851"/>
  <c r="H243"/>
  <c r="R244"/>
  <c r="J260"/>
  <c r="S260"/>
  <c r="H1331"/>
  <c r="R1331" s="1"/>
  <c r="R1333"/>
  <c r="J923"/>
  <c r="T924"/>
  <c r="J907"/>
  <c r="T907" s="1"/>
  <c r="T908"/>
  <c r="J1008"/>
  <c r="T1011"/>
  <c r="J1003"/>
  <c r="T1003" s="1"/>
  <c r="T1004"/>
  <c r="H1054"/>
  <c r="R1054" s="1"/>
  <c r="R1055"/>
  <c r="E314" i="17"/>
  <c r="J1295" i="11"/>
  <c r="T1295" s="1"/>
  <c r="T1296"/>
  <c r="J1281"/>
  <c r="T1282"/>
  <c r="J846"/>
  <c r="T846" s="1"/>
  <c r="T847"/>
  <c r="J857"/>
  <c r="T857" s="1"/>
  <c r="J866"/>
  <c r="J903"/>
  <c r="T903" s="1"/>
  <c r="T905"/>
  <c r="J946"/>
  <c r="T946" s="1"/>
  <c r="T947"/>
  <c r="J975"/>
  <c r="T975" s="1"/>
  <c r="T977"/>
  <c r="J841"/>
  <c r="T842"/>
  <c r="J854"/>
  <c r="T856"/>
  <c r="J894"/>
  <c r="T895"/>
  <c r="J880"/>
  <c r="J1264"/>
  <c r="T1264" s="1"/>
  <c r="E26" i="25"/>
  <c r="J1349" i="11"/>
  <c r="T1349" s="1"/>
  <c r="J1026"/>
  <c r="J1010"/>
  <c r="J964"/>
  <c r="J1336"/>
  <c r="J1341"/>
  <c r="T1341" s="1"/>
  <c r="J1346"/>
  <c r="T1346" s="1"/>
  <c r="T453" i="17" l="1"/>
  <c r="R1295" i="11"/>
  <c r="H1294"/>
  <c r="G771" i="17"/>
  <c r="V771" s="1"/>
  <c r="F707"/>
  <c r="F706" s="1"/>
  <c r="U706" s="1"/>
  <c r="G804"/>
  <c r="V804" s="1"/>
  <c r="V805"/>
  <c r="G450"/>
  <c r="V450" s="1"/>
  <c r="V451"/>
  <c r="E246"/>
  <c r="T246" s="1"/>
  <c r="T247"/>
  <c r="E600"/>
  <c r="T600" s="1"/>
  <c r="T601"/>
  <c r="F246"/>
  <c r="U246" s="1"/>
  <c r="U247"/>
  <c r="F600"/>
  <c r="U600" s="1"/>
  <c r="U601"/>
  <c r="E858"/>
  <c r="T858" s="1"/>
  <c r="T861"/>
  <c r="F694"/>
  <c r="F689" s="1"/>
  <c r="U695"/>
  <c r="E804"/>
  <c r="T804" s="1"/>
  <c r="T805"/>
  <c r="E776"/>
  <c r="T776" s="1"/>
  <c r="T777"/>
  <c r="F452"/>
  <c r="U452" s="1"/>
  <c r="U453"/>
  <c r="G603"/>
  <c r="G602" s="1"/>
  <c r="V602" s="1"/>
  <c r="V604"/>
  <c r="G862"/>
  <c r="V862" s="1"/>
  <c r="V863"/>
  <c r="E603"/>
  <c r="E602" s="1"/>
  <c r="T602" s="1"/>
  <c r="T604"/>
  <c r="F850"/>
  <c r="U850" s="1"/>
  <c r="U852"/>
  <c r="E519"/>
  <c r="T519" s="1"/>
  <c r="T520"/>
  <c r="E694"/>
  <c r="T694" s="1"/>
  <c r="T695"/>
  <c r="G694"/>
  <c r="V694" s="1"/>
  <c r="V695"/>
  <c r="G850"/>
  <c r="V850" s="1"/>
  <c r="V852"/>
  <c r="G690"/>
  <c r="V690" s="1"/>
  <c r="V692"/>
  <c r="G853"/>
  <c r="V853" s="1"/>
  <c r="V854"/>
  <c r="G442"/>
  <c r="G441" s="1"/>
  <c r="V441" s="1"/>
  <c r="V443"/>
  <c r="F804"/>
  <c r="U804" s="1"/>
  <c r="U805"/>
  <c r="E450"/>
  <c r="E445" s="1"/>
  <c r="T445" s="1"/>
  <c r="T451"/>
  <c r="F603"/>
  <c r="U603" s="1"/>
  <c r="U604"/>
  <c r="E703"/>
  <c r="T703" s="1"/>
  <c r="T704"/>
  <c r="F450"/>
  <c r="U450" s="1"/>
  <c r="U451"/>
  <c r="E772"/>
  <c r="T772" s="1"/>
  <c r="T774"/>
  <c r="E853"/>
  <c r="T853" s="1"/>
  <c r="T854"/>
  <c r="F442"/>
  <c r="F441" s="1"/>
  <c r="U441" s="1"/>
  <c r="U443"/>
  <c r="U103"/>
  <c r="F772"/>
  <c r="U772" s="1"/>
  <c r="U774"/>
  <c r="E850"/>
  <c r="T850" s="1"/>
  <c r="T852"/>
  <c r="G452"/>
  <c r="V452" s="1"/>
  <c r="V453"/>
  <c r="G400"/>
  <c r="V400" s="1"/>
  <c r="V401"/>
  <c r="G600"/>
  <c r="V600" s="1"/>
  <c r="V601"/>
  <c r="E313"/>
  <c r="T313" s="1"/>
  <c r="T314"/>
  <c r="G595"/>
  <c r="V595" s="1"/>
  <c r="V596"/>
  <c r="F776"/>
  <c r="U776" s="1"/>
  <c r="U777"/>
  <c r="F853"/>
  <c r="U853" s="1"/>
  <c r="U854"/>
  <c r="E708"/>
  <c r="T708" s="1"/>
  <c r="T710"/>
  <c r="E442"/>
  <c r="T442" s="1"/>
  <c r="T443"/>
  <c r="G590"/>
  <c r="V590" s="1"/>
  <c r="V591"/>
  <c r="G246"/>
  <c r="V246" s="1"/>
  <c r="V247"/>
  <c r="G319"/>
  <c r="V323"/>
  <c r="T271" i="11"/>
  <c r="G710" i="17"/>
  <c r="T260" i="11"/>
  <c r="G504" i="17"/>
  <c r="V504" s="1"/>
  <c r="T931" i="11"/>
  <c r="G243" i="17"/>
  <c r="G858"/>
  <c r="G870"/>
  <c r="E32" i="25"/>
  <c r="E24"/>
  <c r="E34" s="1"/>
  <c r="E36" s="1"/>
  <c r="E35" s="1"/>
  <c r="F26"/>
  <c r="L26" s="1"/>
  <c r="L24" s="1"/>
  <c r="J930" i="11"/>
  <c r="T930" s="1"/>
  <c r="J992"/>
  <c r="T992" s="1"/>
  <c r="T894"/>
  <c r="J887"/>
  <c r="T887" s="1"/>
  <c r="J945"/>
  <c r="T945" s="1"/>
  <c r="J1348"/>
  <c r="T1348" s="1"/>
  <c r="J917"/>
  <c r="J916" s="1"/>
  <c r="J902"/>
  <c r="J901" s="1"/>
  <c r="J1000"/>
  <c r="J999" s="1"/>
  <c r="T823"/>
  <c r="J1335"/>
  <c r="T1335" s="1"/>
  <c r="T1336"/>
  <c r="J1009"/>
  <c r="T1009" s="1"/>
  <c r="T1010"/>
  <c r="J865"/>
  <c r="T866"/>
  <c r="T1274"/>
  <c r="J870"/>
  <c r="T871"/>
  <c r="J939"/>
  <c r="T940"/>
  <c r="J242"/>
  <c r="T243"/>
  <c r="H1086"/>
  <c r="R1086" s="1"/>
  <c r="R1087"/>
  <c r="H242"/>
  <c r="R243"/>
  <c r="J832"/>
  <c r="T833"/>
  <c r="T1312"/>
  <c r="I242"/>
  <c r="S243"/>
  <c r="J853"/>
  <c r="T854"/>
  <c r="J1351"/>
  <c r="T1351" s="1"/>
  <c r="T1352"/>
  <c r="J963"/>
  <c r="T964"/>
  <c r="J827"/>
  <c r="T828"/>
  <c r="J1025"/>
  <c r="T1026"/>
  <c r="J879"/>
  <c r="J874" s="1"/>
  <c r="T880"/>
  <c r="J840"/>
  <c r="T841"/>
  <c r="J1280"/>
  <c r="T1280" s="1"/>
  <c r="T1281"/>
  <c r="J1007"/>
  <c r="T1008"/>
  <c r="J922"/>
  <c r="T922" s="1"/>
  <c r="T923"/>
  <c r="J849"/>
  <c r="T849" s="1"/>
  <c r="T850"/>
  <c r="J821"/>
  <c r="T822"/>
  <c r="J989"/>
  <c r="T990"/>
  <c r="J974"/>
  <c r="J1340"/>
  <c r="T1340" s="1"/>
  <c r="J1345"/>
  <c r="T1345" s="1"/>
  <c r="J50"/>
  <c r="U707" i="17" l="1"/>
  <c r="E857"/>
  <c r="T857" s="1"/>
  <c r="F599"/>
  <c r="U599" s="1"/>
  <c r="V603"/>
  <c r="E599"/>
  <c r="T599" s="1"/>
  <c r="G770"/>
  <c r="V770" s="1"/>
  <c r="T450"/>
  <c r="U694"/>
  <c r="E518"/>
  <c r="E517" s="1"/>
  <c r="V442"/>
  <c r="T603"/>
  <c r="G689"/>
  <c r="G688" s="1"/>
  <c r="F849"/>
  <c r="F848" s="1"/>
  <c r="U848" s="1"/>
  <c r="G445"/>
  <c r="G440" s="1"/>
  <c r="F102"/>
  <c r="U102" s="1"/>
  <c r="E441"/>
  <c r="T441" s="1"/>
  <c r="U442"/>
  <c r="G599"/>
  <c r="V599" s="1"/>
  <c r="E771"/>
  <c r="E770" s="1"/>
  <c r="T770" s="1"/>
  <c r="G594"/>
  <c r="V594" s="1"/>
  <c r="E689"/>
  <c r="E688" s="1"/>
  <c r="T688" s="1"/>
  <c r="E849"/>
  <c r="T849" s="1"/>
  <c r="G399"/>
  <c r="V399" s="1"/>
  <c r="G849"/>
  <c r="V849" s="1"/>
  <c r="F445"/>
  <c r="F440" s="1"/>
  <c r="F602"/>
  <c r="U602" s="1"/>
  <c r="G589"/>
  <c r="G585" s="1"/>
  <c r="E707"/>
  <c r="T707" s="1"/>
  <c r="G242"/>
  <c r="V242" s="1"/>
  <c r="V243"/>
  <c r="G708"/>
  <c r="V708" s="1"/>
  <c r="V710"/>
  <c r="F771"/>
  <c r="F770" s="1"/>
  <c r="U770" s="1"/>
  <c r="G857"/>
  <c r="V857" s="1"/>
  <c r="V858"/>
  <c r="E43" i="23"/>
  <c r="V870" i="17"/>
  <c r="G318"/>
  <c r="V319"/>
  <c r="F688"/>
  <c r="U688" s="1"/>
  <c r="U689"/>
  <c r="J1307" i="11"/>
  <c r="J1306" s="1"/>
  <c r="T50"/>
  <c r="G668" i="17"/>
  <c r="J944" i="11"/>
  <c r="J943" s="1"/>
  <c r="T917"/>
  <c r="J929"/>
  <c r="T929" s="1"/>
  <c r="J886"/>
  <c r="J885" s="1"/>
  <c r="T1000"/>
  <c r="T902"/>
  <c r="J1006"/>
  <c r="T1006" s="1"/>
  <c r="T1007"/>
  <c r="J839"/>
  <c r="T840"/>
  <c r="J1024"/>
  <c r="T1025"/>
  <c r="J826"/>
  <c r="T826" s="1"/>
  <c r="T827"/>
  <c r="J915"/>
  <c r="T916"/>
  <c r="T853"/>
  <c r="J852"/>
  <c r="T852" s="1"/>
  <c r="H241"/>
  <c r="R241" s="1"/>
  <c r="R242"/>
  <c r="J241"/>
  <c r="T241" s="1"/>
  <c r="T242"/>
  <c r="J1272"/>
  <c r="T1273"/>
  <c r="J900"/>
  <c r="T901"/>
  <c r="J988"/>
  <c r="T989"/>
  <c r="T879"/>
  <c r="J962"/>
  <c r="T963"/>
  <c r="T1310"/>
  <c r="I241"/>
  <c r="S241" s="1"/>
  <c r="S242"/>
  <c r="J831"/>
  <c r="T831" s="1"/>
  <c r="T832"/>
  <c r="J998"/>
  <c r="T999"/>
  <c r="J938"/>
  <c r="T939"/>
  <c r="J869"/>
  <c r="T870"/>
  <c r="J864"/>
  <c r="T865"/>
  <c r="J973"/>
  <c r="T974"/>
  <c r="T821"/>
  <c r="J845"/>
  <c r="J1339"/>
  <c r="T1339" s="1"/>
  <c r="J92"/>
  <c r="T92" s="1"/>
  <c r="J104"/>
  <c r="T104" s="1"/>
  <c r="J101"/>
  <c r="T101" s="1"/>
  <c r="J42"/>
  <c r="T42" s="1"/>
  <c r="I42"/>
  <c r="S42" s="1"/>
  <c r="J131"/>
  <c r="I131"/>
  <c r="H131"/>
  <c r="E560" i="17" s="1"/>
  <c r="J34" i="11"/>
  <c r="I34"/>
  <c r="J29"/>
  <c r="I29"/>
  <c r="J24"/>
  <c r="G660" i="17" s="1"/>
  <c r="I24" i="11"/>
  <c r="F660" i="17" s="1"/>
  <c r="J21" i="11"/>
  <c r="T21" s="1"/>
  <c r="I21"/>
  <c r="S21" s="1"/>
  <c r="J19"/>
  <c r="G655" i="17" s="1"/>
  <c r="I19" i="11"/>
  <c r="F655" i="17" s="1"/>
  <c r="J16" i="11"/>
  <c r="T16" s="1"/>
  <c r="I16"/>
  <c r="S16" s="1"/>
  <c r="J13"/>
  <c r="T13" s="1"/>
  <c r="I13"/>
  <c r="S13" s="1"/>
  <c r="J12"/>
  <c r="G648" i="17" s="1"/>
  <c r="I12" i="11"/>
  <c r="F648" i="17" s="1"/>
  <c r="J1305" i="11" l="1"/>
  <c r="E36" i="23"/>
  <c r="E856" i="17"/>
  <c r="T856" s="1"/>
  <c r="T518"/>
  <c r="V689"/>
  <c r="U849"/>
  <c r="E440"/>
  <c r="E439" s="1"/>
  <c r="T439" s="1"/>
  <c r="U445"/>
  <c r="T771"/>
  <c r="V445"/>
  <c r="T689"/>
  <c r="G398"/>
  <c r="V398" s="1"/>
  <c r="G593"/>
  <c r="V593" s="1"/>
  <c r="G848"/>
  <c r="E41" i="23" s="1"/>
  <c r="G239" i="17"/>
  <c r="G238" s="1"/>
  <c r="V238" s="1"/>
  <c r="E706"/>
  <c r="T706" s="1"/>
  <c r="E848"/>
  <c r="T848" s="1"/>
  <c r="V589"/>
  <c r="G707"/>
  <c r="G706" s="1"/>
  <c r="U771"/>
  <c r="F654"/>
  <c r="U654" s="1"/>
  <c r="U655"/>
  <c r="G654"/>
  <c r="G651" s="1"/>
  <c r="V651" s="1"/>
  <c r="V655"/>
  <c r="F659"/>
  <c r="U659" s="1"/>
  <c r="U660"/>
  <c r="G646"/>
  <c r="G645" s="1"/>
  <c r="V645" s="1"/>
  <c r="V648"/>
  <c r="G659"/>
  <c r="V659" s="1"/>
  <c r="V660"/>
  <c r="G667"/>
  <c r="V667" s="1"/>
  <c r="V668"/>
  <c r="F646"/>
  <c r="U646" s="1"/>
  <c r="U648"/>
  <c r="E559"/>
  <c r="T559" s="1"/>
  <c r="T560"/>
  <c r="G439"/>
  <c r="V440"/>
  <c r="V585"/>
  <c r="E29" i="23"/>
  <c r="V688" i="17"/>
  <c r="E516"/>
  <c r="T516" s="1"/>
  <c r="T517"/>
  <c r="F439"/>
  <c r="U439" s="1"/>
  <c r="U440"/>
  <c r="E11" i="23"/>
  <c r="V318" i="17"/>
  <c r="S131" i="11"/>
  <c r="F560" i="17"/>
  <c r="R12" i="11"/>
  <c r="E648" i="17"/>
  <c r="R131" i="11"/>
  <c r="T131"/>
  <c r="G560" i="17"/>
  <c r="V560" s="1"/>
  <c r="T885" i="11"/>
  <c r="E41" i="18"/>
  <c r="T944" i="11"/>
  <c r="J928"/>
  <c r="T928" s="1"/>
  <c r="T886"/>
  <c r="J18"/>
  <c r="T18" s="1"/>
  <c r="T19"/>
  <c r="J23"/>
  <c r="T23" s="1"/>
  <c r="T24"/>
  <c r="J33"/>
  <c r="T34"/>
  <c r="J942"/>
  <c r="T943"/>
  <c r="J972"/>
  <c r="T973"/>
  <c r="J863"/>
  <c r="G548" i="17" s="1"/>
  <c r="V548" s="1"/>
  <c r="T864" i="11"/>
  <c r="J937"/>
  <c r="T938"/>
  <c r="J961"/>
  <c r="T962"/>
  <c r="J987"/>
  <c r="T988"/>
  <c r="T1272"/>
  <c r="J1271"/>
  <c r="J838"/>
  <c r="T839"/>
  <c r="I18"/>
  <c r="S18" s="1"/>
  <c r="S19"/>
  <c r="I23"/>
  <c r="S23" s="1"/>
  <c r="S24"/>
  <c r="I33"/>
  <c r="S34"/>
  <c r="J10"/>
  <c r="T10" s="1"/>
  <c r="T12"/>
  <c r="J28"/>
  <c r="T29"/>
  <c r="J844"/>
  <c r="T845"/>
  <c r="J868"/>
  <c r="T868" s="1"/>
  <c r="T869"/>
  <c r="J997"/>
  <c r="T998"/>
  <c r="J873"/>
  <c r="T874"/>
  <c r="T900"/>
  <c r="J914"/>
  <c r="T914" s="1"/>
  <c r="T915"/>
  <c r="J1023"/>
  <c r="T1024"/>
  <c r="I10"/>
  <c r="S10" s="1"/>
  <c r="S12"/>
  <c r="I28"/>
  <c r="S29"/>
  <c r="T1307"/>
  <c r="J820"/>
  <c r="E26" i="18" s="1"/>
  <c r="J130" i="11"/>
  <c r="T130" s="1"/>
  <c r="J103"/>
  <c r="T103" s="1"/>
  <c r="I130"/>
  <c r="S130" s="1"/>
  <c r="H130"/>
  <c r="R130" s="1"/>
  <c r="J100"/>
  <c r="T100" s="1"/>
  <c r="T440" i="17" l="1"/>
  <c r="V848"/>
  <c r="G382"/>
  <c r="E14" i="23" s="1"/>
  <c r="J927" i="11"/>
  <c r="T927" s="1"/>
  <c r="V654" i="17"/>
  <c r="V707"/>
  <c r="V239"/>
  <c r="E558"/>
  <c r="T558" s="1"/>
  <c r="V646"/>
  <c r="G666"/>
  <c r="V666" s="1"/>
  <c r="G656"/>
  <c r="V656" s="1"/>
  <c r="G575"/>
  <c r="V575" s="1"/>
  <c r="F645"/>
  <c r="U645" s="1"/>
  <c r="F656"/>
  <c r="U656" s="1"/>
  <c r="F651"/>
  <c r="U651" s="1"/>
  <c r="F559"/>
  <c r="F558" s="1"/>
  <c r="U560"/>
  <c r="E646"/>
  <c r="E645" s="1"/>
  <c r="T645" s="1"/>
  <c r="T648"/>
  <c r="E17" i="23"/>
  <c r="V439" i="17"/>
  <c r="E31" i="23"/>
  <c r="V706" i="17"/>
  <c r="G559"/>
  <c r="J1304" i="11"/>
  <c r="J1303" s="1"/>
  <c r="T863"/>
  <c r="G547" i="17"/>
  <c r="T873" i="11"/>
  <c r="E40" i="18"/>
  <c r="I20" i="11"/>
  <c r="S20" s="1"/>
  <c r="J15"/>
  <c r="T15" s="1"/>
  <c r="I9"/>
  <c r="S9" s="1"/>
  <c r="I15"/>
  <c r="S15" s="1"/>
  <c r="J9"/>
  <c r="T9" s="1"/>
  <c r="J20"/>
  <c r="T20" s="1"/>
  <c r="J899"/>
  <c r="T899" s="1"/>
  <c r="J819"/>
  <c r="T820"/>
  <c r="I27"/>
  <c r="S28"/>
  <c r="J1022"/>
  <c r="T1022" s="1"/>
  <c r="T1023"/>
  <c r="J27"/>
  <c r="T28"/>
  <c r="I32"/>
  <c r="S33"/>
  <c r="J960"/>
  <c r="T960" s="1"/>
  <c r="T961"/>
  <c r="J936"/>
  <c r="T937"/>
  <c r="T972"/>
  <c r="J32"/>
  <c r="T33"/>
  <c r="J1270"/>
  <c r="T1270" s="1"/>
  <c r="T1271"/>
  <c r="J996"/>
  <c r="T996" s="1"/>
  <c r="T997"/>
  <c r="J843"/>
  <c r="E39" i="18" s="1"/>
  <c r="T844" i="11"/>
  <c r="J837"/>
  <c r="T838"/>
  <c r="T987"/>
  <c r="J986"/>
  <c r="T986" s="1"/>
  <c r="T942"/>
  <c r="G665" i="17" l="1"/>
  <c r="E28" i="23" s="1"/>
  <c r="J926" i="11"/>
  <c r="T926" s="1"/>
  <c r="V382" i="17"/>
  <c r="E552"/>
  <c r="T552" s="1"/>
  <c r="G644"/>
  <c r="V644" s="1"/>
  <c r="E22" i="23"/>
  <c r="U559" i="17"/>
  <c r="F644"/>
  <c r="U644" s="1"/>
  <c r="T646"/>
  <c r="G558"/>
  <c r="V559"/>
  <c r="G546"/>
  <c r="V546" s="1"/>
  <c r="V547"/>
  <c r="F552"/>
  <c r="U552" s="1"/>
  <c r="U558"/>
  <c r="J935" i="11"/>
  <c r="T935" s="1"/>
  <c r="T837"/>
  <c r="E38" i="18"/>
  <c r="E37" s="1"/>
  <c r="T936" i="11"/>
  <c r="I8"/>
  <c r="S8" s="1"/>
  <c r="J8"/>
  <c r="T8" s="1"/>
  <c r="J836"/>
  <c r="T836" s="1"/>
  <c r="T843"/>
  <c r="J31"/>
  <c r="T32"/>
  <c r="I31"/>
  <c r="S32"/>
  <c r="T819"/>
  <c r="T1305"/>
  <c r="I26"/>
  <c r="S26" s="1"/>
  <c r="S27"/>
  <c r="J26"/>
  <c r="T27"/>
  <c r="J971"/>
  <c r="T971" s="1"/>
  <c r="J44"/>
  <c r="T44" s="1"/>
  <c r="J53"/>
  <c r="T53" s="1"/>
  <c r="J55"/>
  <c r="T55" s="1"/>
  <c r="J58"/>
  <c r="T58" s="1"/>
  <c r="T63"/>
  <c r="J70"/>
  <c r="J71"/>
  <c r="T71" s="1"/>
  <c r="J76"/>
  <c r="T76" s="1"/>
  <c r="J81"/>
  <c r="T81" s="1"/>
  <c r="J89"/>
  <c r="T89" s="1"/>
  <c r="J97"/>
  <c r="T97" s="1"/>
  <c r="J107"/>
  <c r="T107" s="1"/>
  <c r="J112"/>
  <c r="T112" s="1"/>
  <c r="J122"/>
  <c r="T122" s="1"/>
  <c r="J129"/>
  <c r="T129" s="1"/>
  <c r="J138"/>
  <c r="T138" s="1"/>
  <c r="J145"/>
  <c r="T145" s="1"/>
  <c r="J152"/>
  <c r="T152" s="1"/>
  <c r="J158"/>
  <c r="T158" s="1"/>
  <c r="J161"/>
  <c r="T161" s="1"/>
  <c r="J170"/>
  <c r="T170" s="1"/>
  <c r="J174"/>
  <c r="T174" s="1"/>
  <c r="J176"/>
  <c r="T176" s="1"/>
  <c r="J178"/>
  <c r="T178" s="1"/>
  <c r="J182"/>
  <c r="T182" s="1"/>
  <c r="J186"/>
  <c r="J197"/>
  <c r="J213"/>
  <c r="T222"/>
  <c r="J226"/>
  <c r="T226" s="1"/>
  <c r="J235"/>
  <c r="T235" s="1"/>
  <c r="J249"/>
  <c r="T249" s="1"/>
  <c r="J252"/>
  <c r="T252" s="1"/>
  <c r="J255"/>
  <c r="T255" s="1"/>
  <c r="J259"/>
  <c r="J265"/>
  <c r="T265" s="1"/>
  <c r="T272"/>
  <c r="J277"/>
  <c r="T277" s="1"/>
  <c r="J284"/>
  <c r="T284" s="1"/>
  <c r="J287"/>
  <c r="T287" s="1"/>
  <c r="J291"/>
  <c r="T291" s="1"/>
  <c r="J295"/>
  <c r="T295" s="1"/>
  <c r="J298"/>
  <c r="T298" s="1"/>
  <c r="J301"/>
  <c r="T301" s="1"/>
  <c r="J308"/>
  <c r="T308" s="1"/>
  <c r="J315"/>
  <c r="T315" s="1"/>
  <c r="T325"/>
  <c r="T326"/>
  <c r="T328"/>
  <c r="T341"/>
  <c r="T342"/>
  <c r="T352"/>
  <c r="T359"/>
  <c r="T360"/>
  <c r="T367"/>
  <c r="T368"/>
  <c r="T396"/>
  <c r="T397"/>
  <c r="T425"/>
  <c r="T426"/>
  <c r="T434"/>
  <c r="T435"/>
  <c r="T481"/>
  <c r="T493"/>
  <c r="T495"/>
  <c r="T500"/>
  <c r="T502"/>
  <c r="T504"/>
  <c r="T519"/>
  <c r="T520"/>
  <c r="T534"/>
  <c r="T535"/>
  <c r="T593"/>
  <c r="T594"/>
  <c r="J1016"/>
  <c r="T1016" s="1"/>
  <c r="J1018"/>
  <c r="T1018" s="1"/>
  <c r="J1020"/>
  <c r="T1020" s="1"/>
  <c r="L16" i="33"/>
  <c r="L3" s="1"/>
  <c r="J1038" i="11"/>
  <c r="J1041"/>
  <c r="T1041" s="1"/>
  <c r="T1043"/>
  <c r="J1052"/>
  <c r="T1052" s="1"/>
  <c r="J1054"/>
  <c r="T1054" s="1"/>
  <c r="J1058"/>
  <c r="T1058" s="1"/>
  <c r="J1074"/>
  <c r="J1080"/>
  <c r="T1080" s="1"/>
  <c r="J1082"/>
  <c r="T1082" s="1"/>
  <c r="T1084"/>
  <c r="T1086"/>
  <c r="J1093"/>
  <c r="T1093" s="1"/>
  <c r="J1095"/>
  <c r="T1095" s="1"/>
  <c r="J1099"/>
  <c r="T1108"/>
  <c r="T1110"/>
  <c r="T1142"/>
  <c r="T1144"/>
  <c r="T1146"/>
  <c r="T1165"/>
  <c r="T1191"/>
  <c r="T1195"/>
  <c r="J1248"/>
  <c r="J1252"/>
  <c r="J1256"/>
  <c r="T1256" s="1"/>
  <c r="T1259"/>
  <c r="J1262"/>
  <c r="T1262" s="1"/>
  <c r="J1319"/>
  <c r="J1328"/>
  <c r="T1328" s="1"/>
  <c r="J1331"/>
  <c r="T1331" s="1"/>
  <c r="J1360"/>
  <c r="T1360" s="1"/>
  <c r="J1363"/>
  <c r="T1363" s="1"/>
  <c r="J1375"/>
  <c r="T1375" s="1"/>
  <c r="J1378"/>
  <c r="T1378" s="1"/>
  <c r="T1383"/>
  <c r="V665" i="17" l="1"/>
  <c r="E27" i="23"/>
  <c r="G552" i="17"/>
  <c r="V552" s="1"/>
  <c r="V558"/>
  <c r="T197" i="11"/>
  <c r="J196"/>
  <c r="T196" s="1"/>
  <c r="J898"/>
  <c r="K12" i="36" s="1"/>
  <c r="L12" s="1"/>
  <c r="T259" i="11"/>
  <c r="G503" i="17"/>
  <c r="T205" i="11"/>
  <c r="G331" i="17"/>
  <c r="T70" i="11"/>
  <c r="G479" i="17"/>
  <c r="T1381" i="11"/>
  <c r="G868" i="17"/>
  <c r="T1074" i="11"/>
  <c r="G234" i="17"/>
  <c r="T213" i="11"/>
  <c r="G700" i="17"/>
  <c r="T95" i="11"/>
  <c r="G541" i="17"/>
  <c r="T1038" i="11"/>
  <c r="G801" i="17"/>
  <c r="J7" i="11"/>
  <c r="E4" i="18" s="1"/>
  <c r="T26" i="11"/>
  <c r="T472"/>
  <c r="T643"/>
  <c r="I7"/>
  <c r="S7" s="1"/>
  <c r="T1252"/>
  <c r="T186"/>
  <c r="J181"/>
  <c r="T181" s="1"/>
  <c r="T1238"/>
  <c r="T1239"/>
  <c r="T1221"/>
  <c r="T1222"/>
  <c r="T1204"/>
  <c r="T1189"/>
  <c r="T1190"/>
  <c r="T1148"/>
  <c r="T1149"/>
  <c r="T1137"/>
  <c r="T647"/>
  <c r="T648"/>
  <c r="T627"/>
  <c r="T608"/>
  <c r="T609"/>
  <c r="T568"/>
  <c r="T559"/>
  <c r="T560"/>
  <c r="T540"/>
  <c r="T521"/>
  <c r="T522"/>
  <c r="T476"/>
  <c r="T477"/>
  <c r="T467"/>
  <c r="T448"/>
  <c r="T897"/>
  <c r="S31"/>
  <c r="I25"/>
  <c r="S25" s="1"/>
  <c r="T1225"/>
  <c r="T1226"/>
  <c r="T1211"/>
  <c r="T1170"/>
  <c r="T1131"/>
  <c r="T1132"/>
  <c r="T1114"/>
  <c r="T633"/>
  <c r="T611"/>
  <c r="T612"/>
  <c r="T573"/>
  <c r="T564"/>
  <c r="T546"/>
  <c r="T528"/>
  <c r="T529"/>
  <c r="T524"/>
  <c r="T525"/>
  <c r="T478"/>
  <c r="T479"/>
  <c r="T418"/>
  <c r="T402"/>
  <c r="T362"/>
  <c r="T363"/>
  <c r="J1299"/>
  <c r="J1298" s="1"/>
  <c r="J1297" s="1"/>
  <c r="T1300"/>
  <c r="T1212"/>
  <c r="T1213"/>
  <c r="T1197"/>
  <c r="T1198"/>
  <c r="T1193"/>
  <c r="T1194"/>
  <c r="T1182"/>
  <c r="T1183"/>
  <c r="T1163"/>
  <c r="T1164"/>
  <c r="T1152"/>
  <c r="T1153"/>
  <c r="J1098"/>
  <c r="T1099"/>
  <c r="T638"/>
  <c r="T616"/>
  <c r="T600"/>
  <c r="T601"/>
  <c r="T596"/>
  <c r="T597"/>
  <c r="T587"/>
  <c r="T550"/>
  <c r="T551"/>
  <c r="T498"/>
  <c r="T499"/>
  <c r="T438"/>
  <c r="T407"/>
  <c r="T391"/>
  <c r="T376"/>
  <c r="T377"/>
  <c r="T346"/>
  <c r="T1304"/>
  <c r="T31"/>
  <c r="J25"/>
  <c r="T25" s="1"/>
  <c r="J1318"/>
  <c r="T1319"/>
  <c r="J1247"/>
  <c r="T1248"/>
  <c r="T1232"/>
  <c r="T1215"/>
  <c r="T1216"/>
  <c r="T1199"/>
  <c r="T1200"/>
  <c r="T1185"/>
  <c r="T1186"/>
  <c r="T1178"/>
  <c r="T1158"/>
  <c r="T1126"/>
  <c r="T649"/>
  <c r="T650"/>
  <c r="T622"/>
  <c r="T623"/>
  <c r="T604"/>
  <c r="T605"/>
  <c r="T558"/>
  <c r="T513"/>
  <c r="T491"/>
  <c r="T461"/>
  <c r="T462"/>
  <c r="T442"/>
  <c r="T412"/>
  <c r="T378"/>
  <c r="T379"/>
  <c r="T351"/>
  <c r="J818"/>
  <c r="J1037"/>
  <c r="J1079"/>
  <c r="J1073"/>
  <c r="T1073" s="1"/>
  <c r="J1057"/>
  <c r="T1057" s="1"/>
  <c r="J1327"/>
  <c r="J1330"/>
  <c r="T1330" s="1"/>
  <c r="J1359"/>
  <c r="T1359" s="1"/>
  <c r="J1380"/>
  <c r="T1380" s="1"/>
  <c r="J297"/>
  <c r="T297" s="1"/>
  <c r="J283"/>
  <c r="T283" s="1"/>
  <c r="J276"/>
  <c r="T276" s="1"/>
  <c r="J258"/>
  <c r="J300"/>
  <c r="T300" s="1"/>
  <c r="J286"/>
  <c r="T286" s="1"/>
  <c r="J273"/>
  <c r="T273" s="1"/>
  <c r="J248"/>
  <c r="T248" s="1"/>
  <c r="J221"/>
  <c r="T221" s="1"/>
  <c r="J204"/>
  <c r="T204" s="1"/>
  <c r="J307"/>
  <c r="T307" s="1"/>
  <c r="J290"/>
  <c r="T290" s="1"/>
  <c r="J264"/>
  <c r="T264" s="1"/>
  <c r="J251"/>
  <c r="T251" s="1"/>
  <c r="J212"/>
  <c r="T212" s="1"/>
  <c r="J314"/>
  <c r="T314" s="1"/>
  <c r="J294"/>
  <c r="T294" s="1"/>
  <c r="J254"/>
  <c r="T254" s="1"/>
  <c r="J228"/>
  <c r="T228" s="1"/>
  <c r="J216"/>
  <c r="T216" s="1"/>
  <c r="J234"/>
  <c r="T234" s="1"/>
  <c r="J169"/>
  <c r="T169" s="1"/>
  <c r="J121"/>
  <c r="T121" s="1"/>
  <c r="J94"/>
  <c r="T94" s="1"/>
  <c r="J69"/>
  <c r="T69" s="1"/>
  <c r="J128"/>
  <c r="T128" s="1"/>
  <c r="J96"/>
  <c r="T96" s="1"/>
  <c r="J84"/>
  <c r="T84" s="1"/>
  <c r="J88"/>
  <c r="T88" s="1"/>
  <c r="J75"/>
  <c r="T75" s="1"/>
  <c r="J41"/>
  <c r="T41" s="1"/>
  <c r="J62"/>
  <c r="T62" s="1"/>
  <c r="J49"/>
  <c r="T49" s="1"/>
  <c r="J80"/>
  <c r="T80" s="1"/>
  <c r="J106"/>
  <c r="T106" s="1"/>
  <c r="J111"/>
  <c r="T111" s="1"/>
  <c r="J137"/>
  <c r="T137" s="1"/>
  <c r="J144"/>
  <c r="T144" s="1"/>
  <c r="J151"/>
  <c r="T151" s="1"/>
  <c r="J157"/>
  <c r="T157" s="1"/>
  <c r="J160"/>
  <c r="T160" s="1"/>
  <c r="J1015"/>
  <c r="J269"/>
  <c r="J1371"/>
  <c r="T1371" s="1"/>
  <c r="J1064"/>
  <c r="T1064" s="1"/>
  <c r="J116"/>
  <c r="T116" s="1"/>
  <c r="J1051"/>
  <c r="T1051" s="1"/>
  <c r="J1258"/>
  <c r="J1251" s="1"/>
  <c r="T492"/>
  <c r="J1092"/>
  <c r="T366"/>
  <c r="T358"/>
  <c r="J173"/>
  <c r="T173" s="1"/>
  <c r="T1162"/>
  <c r="G540" i="17" l="1"/>
  <c r="V540" s="1"/>
  <c r="V541"/>
  <c r="G867"/>
  <c r="V867" s="1"/>
  <c r="V868"/>
  <c r="G330"/>
  <c r="V330" s="1"/>
  <c r="V331"/>
  <c r="G800"/>
  <c r="V800" s="1"/>
  <c r="V801"/>
  <c r="G699"/>
  <c r="V699" s="1"/>
  <c r="V700"/>
  <c r="G233"/>
  <c r="V233" s="1"/>
  <c r="V234"/>
  <c r="G478"/>
  <c r="V478" s="1"/>
  <c r="V479"/>
  <c r="G502"/>
  <c r="V502" s="1"/>
  <c r="V503"/>
  <c r="T1327" i="11"/>
  <c r="J1326"/>
  <c r="J1325" s="1"/>
  <c r="T898"/>
  <c r="T258"/>
  <c r="J257"/>
  <c r="T257" s="1"/>
  <c r="T818"/>
  <c r="K11" i="36"/>
  <c r="L11" s="1"/>
  <c r="J6" i="11"/>
  <c r="J5" s="1"/>
  <c r="T7"/>
  <c r="T1303"/>
  <c r="E25" i="18"/>
  <c r="T471" i="11"/>
  <c r="T563"/>
  <c r="T562"/>
  <c r="T497"/>
  <c r="T527"/>
  <c r="T1220"/>
  <c r="T372"/>
  <c r="I6"/>
  <c r="S6" s="1"/>
  <c r="T269"/>
  <c r="J268"/>
  <c r="T268" s="1"/>
  <c r="T324"/>
  <c r="J1091"/>
  <c r="T1092"/>
  <c r="T433"/>
  <c r="T340"/>
  <c r="J1078"/>
  <c r="T1079"/>
  <c r="T349"/>
  <c r="T350"/>
  <c r="T411"/>
  <c r="T511"/>
  <c r="T512"/>
  <c r="T553"/>
  <c r="T554"/>
  <c r="T1125"/>
  <c r="T1176"/>
  <c r="T1177"/>
  <c r="T1231"/>
  <c r="J1317"/>
  <c r="T1318"/>
  <c r="T405"/>
  <c r="T406"/>
  <c r="T585"/>
  <c r="T586"/>
  <c r="T637"/>
  <c r="T1299"/>
  <c r="T417"/>
  <c r="T1112"/>
  <c r="T1113"/>
  <c r="T466"/>
  <c r="T539"/>
  <c r="T567"/>
  <c r="T626"/>
  <c r="T1136"/>
  <c r="T1203"/>
  <c r="T1188"/>
  <c r="T1251"/>
  <c r="T1258"/>
  <c r="T599"/>
  <c r="T1107"/>
  <c r="T591"/>
  <c r="T592"/>
  <c r="T470"/>
  <c r="T424"/>
  <c r="T1161"/>
  <c r="J1014"/>
  <c r="T1015"/>
  <c r="T440"/>
  <c r="T441"/>
  <c r="T488"/>
  <c r="T489"/>
  <c r="T1156"/>
  <c r="T1157"/>
  <c r="J1246"/>
  <c r="T1247"/>
  <c r="T345"/>
  <c r="T390"/>
  <c r="T436"/>
  <c r="T437"/>
  <c r="T614"/>
  <c r="T615"/>
  <c r="J1097"/>
  <c r="T1097" s="1"/>
  <c r="T1098"/>
  <c r="T400"/>
  <c r="T401"/>
  <c r="T545"/>
  <c r="T572"/>
  <c r="T632"/>
  <c r="T1169"/>
  <c r="T1210"/>
  <c r="T447"/>
  <c r="T517"/>
  <c r="T518"/>
  <c r="T533"/>
  <c r="T395"/>
  <c r="T1130"/>
  <c r="J1036"/>
  <c r="T1037"/>
  <c r="J1050"/>
  <c r="T1050" s="1"/>
  <c r="J1063"/>
  <c r="T1063" s="1"/>
  <c r="J1072"/>
  <c r="T1072" s="1"/>
  <c r="J1056"/>
  <c r="T1056" s="1"/>
  <c r="J1358"/>
  <c r="T1358" s="1"/>
  <c r="J1377"/>
  <c r="T1377" s="1"/>
  <c r="J1370"/>
  <c r="T1370" s="1"/>
  <c r="J225"/>
  <c r="J293"/>
  <c r="T293" s="1"/>
  <c r="J211"/>
  <c r="J282"/>
  <c r="T282" s="1"/>
  <c r="J168"/>
  <c r="T168" s="1"/>
  <c r="J195"/>
  <c r="T195" s="1"/>
  <c r="J313"/>
  <c r="T313" s="1"/>
  <c r="J275"/>
  <c r="T275" s="1"/>
  <c r="J263"/>
  <c r="T263" s="1"/>
  <c r="J306"/>
  <c r="T306" s="1"/>
  <c r="J220"/>
  <c r="T220" s="1"/>
  <c r="J180"/>
  <c r="T180" s="1"/>
  <c r="J203"/>
  <c r="T203" s="1"/>
  <c r="J233"/>
  <c r="T233" s="1"/>
  <c r="J48"/>
  <c r="T48" s="1"/>
  <c r="J91"/>
  <c r="T91" s="1"/>
  <c r="J83"/>
  <c r="T83" s="1"/>
  <c r="J127"/>
  <c r="T127" s="1"/>
  <c r="J68"/>
  <c r="J67" s="1"/>
  <c r="J66" s="1"/>
  <c r="J120"/>
  <c r="T120" s="1"/>
  <c r="J40"/>
  <c r="T40" s="1"/>
  <c r="J74"/>
  <c r="T74" s="1"/>
  <c r="J61"/>
  <c r="T61" s="1"/>
  <c r="J99"/>
  <c r="T99" s="1"/>
  <c r="J110"/>
  <c r="T110" s="1"/>
  <c r="J136"/>
  <c r="T136" s="1"/>
  <c r="J143"/>
  <c r="T143" s="1"/>
  <c r="J150"/>
  <c r="T150" s="1"/>
  <c r="J156"/>
  <c r="T156" s="1"/>
  <c r="J1250"/>
  <c r="J115"/>
  <c r="T115" s="1"/>
  <c r="T68" l="1"/>
  <c r="T1326"/>
  <c r="G536" i="17"/>
  <c r="V536" s="1"/>
  <c r="G501"/>
  <c r="V501" s="1"/>
  <c r="G232"/>
  <c r="G231" s="1"/>
  <c r="G864"/>
  <c r="G856" s="1"/>
  <c r="G329"/>
  <c r="G328" s="1"/>
  <c r="G799"/>
  <c r="G798" s="1"/>
  <c r="G477"/>
  <c r="V477" s="1"/>
  <c r="G698"/>
  <c r="G697" s="1"/>
  <c r="T5" i="11"/>
  <c r="K3" i="36"/>
  <c r="L3" s="1"/>
  <c r="T6" i="11"/>
  <c r="T642"/>
  <c r="T1219"/>
  <c r="T516"/>
  <c r="I5"/>
  <c r="J224"/>
  <c r="T224" s="1"/>
  <c r="T225"/>
  <c r="J1035"/>
  <c r="T1036"/>
  <c r="T394"/>
  <c r="T445"/>
  <c r="T446"/>
  <c r="T1167"/>
  <c r="T1168"/>
  <c r="T570"/>
  <c r="T571"/>
  <c r="T389"/>
  <c r="J1245"/>
  <c r="T1245" s="1"/>
  <c r="T1246"/>
  <c r="J1013"/>
  <c r="T1014"/>
  <c r="T1106"/>
  <c r="T598"/>
  <c r="T1175"/>
  <c r="T1201"/>
  <c r="T1202"/>
  <c r="T625"/>
  <c r="T538"/>
  <c r="T415"/>
  <c r="T416"/>
  <c r="T1230"/>
  <c r="T1124"/>
  <c r="T339"/>
  <c r="T432"/>
  <c r="T323"/>
  <c r="T357"/>
  <c r="T1129"/>
  <c r="T532"/>
  <c r="T1209"/>
  <c r="T631"/>
  <c r="T543"/>
  <c r="T544"/>
  <c r="T343"/>
  <c r="T344"/>
  <c r="T1159"/>
  <c r="T1160"/>
  <c r="T423"/>
  <c r="T1181"/>
  <c r="T1134"/>
  <c r="T1135"/>
  <c r="T565"/>
  <c r="T566"/>
  <c r="T465"/>
  <c r="J1294"/>
  <c r="T1298"/>
  <c r="T635"/>
  <c r="T636"/>
  <c r="J1316"/>
  <c r="T1317"/>
  <c r="T409"/>
  <c r="T410"/>
  <c r="J1077"/>
  <c r="T1078"/>
  <c r="T640"/>
  <c r="T641"/>
  <c r="J1090"/>
  <c r="T1091"/>
  <c r="T1141"/>
  <c r="T1250"/>
  <c r="J210"/>
  <c r="T210" s="1"/>
  <c r="T211"/>
  <c r="J1062"/>
  <c r="T1062" s="1"/>
  <c r="J1071"/>
  <c r="T1071" s="1"/>
  <c r="J1049"/>
  <c r="T1049" s="1"/>
  <c r="J1369"/>
  <c r="T1369" s="1"/>
  <c r="J281"/>
  <c r="T281" s="1"/>
  <c r="J247"/>
  <c r="T247" s="1"/>
  <c r="J167"/>
  <c r="J166" s="1"/>
  <c r="J202"/>
  <c r="T202" s="1"/>
  <c r="J305"/>
  <c r="T305" s="1"/>
  <c r="J194"/>
  <c r="T194" s="1"/>
  <c r="J219"/>
  <c r="T219" s="1"/>
  <c r="J262"/>
  <c r="T262" s="1"/>
  <c r="J312"/>
  <c r="T312" s="1"/>
  <c r="J267"/>
  <c r="T267" s="1"/>
  <c r="J232"/>
  <c r="T232" s="1"/>
  <c r="J47"/>
  <c r="T47" s="1"/>
  <c r="J114"/>
  <c r="T114" s="1"/>
  <c r="J87"/>
  <c r="T87" s="1"/>
  <c r="J79"/>
  <c r="T79" s="1"/>
  <c r="J73"/>
  <c r="T73" s="1"/>
  <c r="J39"/>
  <c r="J60"/>
  <c r="J126"/>
  <c r="J109"/>
  <c r="T109" s="1"/>
  <c r="J135"/>
  <c r="T135" s="1"/>
  <c r="J142"/>
  <c r="T142" s="1"/>
  <c r="J149"/>
  <c r="T149" s="1"/>
  <c r="J155"/>
  <c r="T155" s="1"/>
  <c r="J209" l="1"/>
  <c r="T209" s="1"/>
  <c r="G532" i="17"/>
  <c r="V532" s="1"/>
  <c r="G491"/>
  <c r="V491" s="1"/>
  <c r="V232"/>
  <c r="V864"/>
  <c r="V698"/>
  <c r="V329"/>
  <c r="V799"/>
  <c r="G470"/>
  <c r="V470" s="1"/>
  <c r="E38" i="23"/>
  <c r="V798" i="17"/>
  <c r="E30" i="23"/>
  <c r="V697" i="17"/>
  <c r="E42" i="23"/>
  <c r="V856" i="17"/>
  <c r="G327"/>
  <c r="V328"/>
  <c r="V231"/>
  <c r="G230"/>
  <c r="T1325" i="11"/>
  <c r="J1324"/>
  <c r="T60"/>
  <c r="E6" i="18"/>
  <c r="T39" i="11"/>
  <c r="E3" i="18"/>
  <c r="T126" i="11"/>
  <c r="E12" i="18"/>
  <c r="S5" i="11"/>
  <c r="T487"/>
  <c r="J223"/>
  <c r="T223" s="1"/>
  <c r="T510"/>
  <c r="T1218"/>
  <c r="J1244"/>
  <c r="J1243" s="1"/>
  <c r="T1243" s="1"/>
  <c r="T549"/>
  <c r="T166"/>
  <c r="T167"/>
  <c r="T1140"/>
  <c r="J1293"/>
  <c r="T1294"/>
  <c r="T1208"/>
  <c r="T530"/>
  <c r="T531"/>
  <c r="T356"/>
  <c r="T322"/>
  <c r="T337"/>
  <c r="T338"/>
  <c r="T1229"/>
  <c r="T536"/>
  <c r="T537"/>
  <c r="T595"/>
  <c r="T542"/>
  <c r="T548"/>
  <c r="T392"/>
  <c r="T393"/>
  <c r="T453"/>
  <c r="T1237"/>
  <c r="J1089"/>
  <c r="T1090"/>
  <c r="J1076"/>
  <c r="T1076" s="1"/>
  <c r="T1077"/>
  <c r="T1316"/>
  <c r="J1315"/>
  <c r="T1180"/>
  <c r="T422"/>
  <c r="T629"/>
  <c r="T630"/>
  <c r="T1128"/>
  <c r="T486"/>
  <c r="T430"/>
  <c r="T431"/>
  <c r="T1123"/>
  <c r="T1173"/>
  <c r="T1174"/>
  <c r="T1105"/>
  <c r="J1012"/>
  <c r="T1013"/>
  <c r="T387"/>
  <c r="T388"/>
  <c r="T1035"/>
  <c r="J1034"/>
  <c r="T1034" s="1"/>
  <c r="T621"/>
  <c r="J1061"/>
  <c r="J1048"/>
  <c r="T1048" s="1"/>
  <c r="J1070"/>
  <c r="E19" i="18" s="1"/>
  <c r="J46" i="11"/>
  <c r="J1368"/>
  <c r="T1368" s="1"/>
  <c r="J280"/>
  <c r="T280" s="1"/>
  <c r="J246"/>
  <c r="T246" s="1"/>
  <c r="J304"/>
  <c r="T304" s="1"/>
  <c r="J201"/>
  <c r="T201" s="1"/>
  <c r="J311"/>
  <c r="E34" i="18" s="1"/>
  <c r="J218" i="11"/>
  <c r="J193"/>
  <c r="J231"/>
  <c r="J165"/>
  <c r="J86"/>
  <c r="T86" s="1"/>
  <c r="J125"/>
  <c r="T125" s="1"/>
  <c r="J78"/>
  <c r="J134"/>
  <c r="J141"/>
  <c r="J148"/>
  <c r="J154"/>
  <c r="T78" l="1"/>
  <c r="J65"/>
  <c r="J38" s="1"/>
  <c r="G531" i="17"/>
  <c r="E21" i="23" s="1"/>
  <c r="E44"/>
  <c r="G458" i="17"/>
  <c r="E12" i="23"/>
  <c r="V327" i="17"/>
  <c r="E10" i="23"/>
  <c r="V230" i="17"/>
  <c r="E31" i="18"/>
  <c r="E30" s="1"/>
  <c r="E17"/>
  <c r="E21"/>
  <c r="E18" s="1"/>
  <c r="T134" i="11"/>
  <c r="E27" i="18"/>
  <c r="T218" i="11"/>
  <c r="E8" i="18"/>
  <c r="T1324" i="11"/>
  <c r="E11" i="18"/>
  <c r="E10" s="1"/>
  <c r="T141" i="11"/>
  <c r="T193"/>
  <c r="T46"/>
  <c r="E5" i="18"/>
  <c r="T1061" i="11"/>
  <c r="E16" i="18"/>
  <c r="T148" i="11"/>
  <c r="E43" i="18"/>
  <c r="T231" i="11"/>
  <c r="E46" i="18"/>
  <c r="E45" s="1"/>
  <c r="T154" i="11"/>
  <c r="E44" i="18"/>
  <c r="T311" i="11"/>
  <c r="T1070"/>
  <c r="E7" i="18"/>
  <c r="T1244" i="11"/>
  <c r="T165"/>
  <c r="T1103"/>
  <c r="T1104"/>
  <c r="T1127"/>
  <c r="T421"/>
  <c r="T420"/>
  <c r="T452"/>
  <c r="T451"/>
  <c r="T1227"/>
  <c r="T1228"/>
  <c r="T321"/>
  <c r="T1133"/>
  <c r="T1139"/>
  <c r="T590"/>
  <c r="T1121"/>
  <c r="T1122"/>
  <c r="T484"/>
  <c r="T485"/>
  <c r="J1088"/>
  <c r="T1088" s="1"/>
  <c r="T1089"/>
  <c r="T1236"/>
  <c r="T354"/>
  <c r="T355"/>
  <c r="J1292"/>
  <c r="T1293"/>
  <c r="J1005"/>
  <c r="T1012"/>
  <c r="J1314"/>
  <c r="T1314" s="1"/>
  <c r="T1315"/>
  <c r="T1207"/>
  <c r="J1069"/>
  <c r="T1069" s="1"/>
  <c r="J1060"/>
  <c r="T1060" s="1"/>
  <c r="J1033"/>
  <c r="T1033" s="1"/>
  <c r="J1323"/>
  <c r="T1323" s="1"/>
  <c r="J1367"/>
  <c r="T1367" s="1"/>
  <c r="J279"/>
  <c r="T279" s="1"/>
  <c r="J240"/>
  <c r="T240" s="1"/>
  <c r="J208"/>
  <c r="T208" s="1"/>
  <c r="J310"/>
  <c r="T310" s="1"/>
  <c r="J303"/>
  <c r="T303" s="1"/>
  <c r="J200"/>
  <c r="J192"/>
  <c r="T192" s="1"/>
  <c r="J230"/>
  <c r="T230" s="1"/>
  <c r="J133"/>
  <c r="T133" s="1"/>
  <c r="J140"/>
  <c r="T140" s="1"/>
  <c r="J147"/>
  <c r="T147" s="1"/>
  <c r="E9" i="18" l="1"/>
  <c r="E2" s="1"/>
  <c r="V531" i="17"/>
  <c r="G897"/>
  <c r="V897" s="1"/>
  <c r="E18" i="23"/>
  <c r="E26" s="1"/>
  <c r="E46" s="1"/>
  <c r="D27" i="1" s="1"/>
  <c r="V458" i="17"/>
  <c r="E13" i="18"/>
  <c r="E42"/>
  <c r="T200" i="11"/>
  <c r="E35" i="18"/>
  <c r="E33" s="1"/>
  <c r="M3" i="36"/>
  <c r="N3" s="1"/>
  <c r="N20" s="1"/>
  <c r="J1291" i="11"/>
  <c r="E24" i="18" s="1"/>
  <c r="E23" s="1"/>
  <c r="T1292" i="11"/>
  <c r="T1234"/>
  <c r="T1235"/>
  <c r="T584"/>
  <c r="T509"/>
  <c r="T1206"/>
  <c r="T1005"/>
  <c r="J970"/>
  <c r="K13" i="36" s="1"/>
  <c r="L13" s="1"/>
  <c r="T320" i="11"/>
  <c r="J1032"/>
  <c r="J1322"/>
  <c r="J1366"/>
  <c r="J239"/>
  <c r="T239" s="1"/>
  <c r="J199"/>
  <c r="T199" s="1"/>
  <c r="J207"/>
  <c r="T38"/>
  <c r="D10" i="1" l="1"/>
  <c r="E48" i="18"/>
  <c r="T1032" i="11"/>
  <c r="K14" i="36"/>
  <c r="L14" s="1"/>
  <c r="T207" i="11"/>
  <c r="K6" i="36"/>
  <c r="L6" s="1"/>
  <c r="T1322" i="11"/>
  <c r="K17" i="36"/>
  <c r="L17" s="1"/>
  <c r="T1366" i="11"/>
  <c r="K18" i="36"/>
  <c r="L18" s="1"/>
  <c r="M20"/>
  <c r="O3"/>
  <c r="O20" s="1"/>
  <c r="J164" i="11"/>
  <c r="T508"/>
  <c r="T575"/>
  <c r="T576"/>
  <c r="T1291"/>
  <c r="J1290"/>
  <c r="T969"/>
  <c r="T970"/>
  <c r="T1120"/>
  <c r="T318"/>
  <c r="T319"/>
  <c r="T1172"/>
  <c r="T1179"/>
  <c r="T1031"/>
  <c r="J238"/>
  <c r="J37"/>
  <c r="R177"/>
  <c r="R1383"/>
  <c r="E52" i="18" l="1"/>
  <c r="D21" i="1"/>
  <c r="T238" i="11"/>
  <c r="K7" i="36"/>
  <c r="L7" s="1"/>
  <c r="T37" i="11"/>
  <c r="K4" i="36"/>
  <c r="L4" s="1"/>
  <c r="T164" i="11"/>
  <c r="K5" i="36"/>
  <c r="L5" s="1"/>
  <c r="T1102" i="11"/>
  <c r="J1242"/>
  <c r="T1290"/>
  <c r="T507"/>
  <c r="T1242" l="1"/>
  <c r="K16" i="36"/>
  <c r="L16" s="1"/>
  <c r="J1385" i="11"/>
  <c r="D8" i="1" s="1"/>
  <c r="D12" l="1"/>
  <c r="T1385" i="11"/>
  <c r="G899" i="17"/>
  <c r="G900" s="1"/>
  <c r="R1194" i="11" l="1"/>
  <c r="S867" l="1"/>
  <c r="R867"/>
  <c r="S851"/>
  <c r="R851"/>
  <c r="K24" i="26"/>
  <c r="K34" s="1"/>
  <c r="K29"/>
  <c r="K35"/>
  <c r="H1099" i="11" l="1"/>
  <c r="R1099" s="1"/>
  <c r="I1099"/>
  <c r="S1099" s="1"/>
  <c r="I540"/>
  <c r="H540"/>
  <c r="N540" s="1"/>
  <c r="S594"/>
  <c r="R594"/>
  <c r="S519"/>
  <c r="R519"/>
  <c r="S535"/>
  <c r="R535"/>
  <c r="S540" l="1"/>
  <c r="R540"/>
  <c r="I1098"/>
  <c r="S1098" s="1"/>
  <c r="H1098"/>
  <c r="R1098" s="1"/>
  <c r="I1097" l="1"/>
  <c r="S1097" s="1"/>
  <c r="H1097"/>
  <c r="R1097" s="1"/>
  <c r="I70" l="1"/>
  <c r="H70"/>
  <c r="E479" i="17" s="1"/>
  <c r="E478" l="1"/>
  <c r="T478" s="1"/>
  <c r="T479"/>
  <c r="S70" i="11"/>
  <c r="F479" i="17"/>
  <c r="R70" i="11"/>
  <c r="S1383"/>
  <c r="F478" i="17" l="1"/>
  <c r="F477" s="1"/>
  <c r="U479"/>
  <c r="E477"/>
  <c r="E470" s="1"/>
  <c r="T470" s="1"/>
  <c r="K19" i="26"/>
  <c r="L19" s="1"/>
  <c r="S593" i="11"/>
  <c r="R593"/>
  <c r="T477" i="17" l="1"/>
  <c r="U478"/>
  <c r="F470"/>
  <c r="U470" s="1"/>
  <c r="U477"/>
  <c r="H47" i="23"/>
  <c r="E47"/>
  <c r="I855" i="11"/>
  <c r="H855"/>
  <c r="S564"/>
  <c r="R564"/>
  <c r="S855" l="1"/>
  <c r="F401" i="17"/>
  <c r="U401" s="1"/>
  <c r="R855" i="11"/>
  <c r="E401" i="17"/>
  <c r="T401" s="1"/>
  <c r="B413" l="1"/>
  <c r="Q413" s="1"/>
  <c r="B412"/>
  <c r="Q412" s="1"/>
  <c r="H883" i="11"/>
  <c r="R883" s="1"/>
  <c r="I883"/>
  <c r="S883" s="1"/>
  <c r="R573"/>
  <c r="I573"/>
  <c r="S573" s="1"/>
  <c r="R1300" l="1"/>
  <c r="E93" i="17"/>
  <c r="R1299" i="11"/>
  <c r="I572"/>
  <c r="S572" s="1"/>
  <c r="R572"/>
  <c r="E92" i="17" l="1"/>
  <c r="T93"/>
  <c r="I571" i="11"/>
  <c r="S571" s="1"/>
  <c r="R571"/>
  <c r="T92" i="17" l="1"/>
  <c r="I570" i="11"/>
  <c r="S570" s="1"/>
  <c r="R570"/>
  <c r="S1226" l="1"/>
  <c r="R1226"/>
  <c r="S893"/>
  <c r="R893"/>
  <c r="S648"/>
  <c r="R648"/>
  <c r="S477" l="1"/>
  <c r="R477"/>
  <c r="S1381" l="1"/>
  <c r="R1381"/>
  <c r="I1342"/>
  <c r="H1342"/>
  <c r="S1259"/>
  <c r="R1259"/>
  <c r="S1164"/>
  <c r="R1164"/>
  <c r="S1190"/>
  <c r="R1190"/>
  <c r="S1132"/>
  <c r="R1132"/>
  <c r="S895"/>
  <c r="R895"/>
  <c r="S842"/>
  <c r="R842"/>
  <c r="S825"/>
  <c r="R825"/>
  <c r="H24"/>
  <c r="H19"/>
  <c r="S520"/>
  <c r="R520"/>
  <c r="R479"/>
  <c r="I391"/>
  <c r="H391"/>
  <c r="S467"/>
  <c r="R467"/>
  <c r="S426"/>
  <c r="R426"/>
  <c r="S425"/>
  <c r="R425"/>
  <c r="S360"/>
  <c r="R360"/>
  <c r="S359"/>
  <c r="R359"/>
  <c r="S326"/>
  <c r="R326"/>
  <c r="S325"/>
  <c r="R325"/>
  <c r="I259"/>
  <c r="H259"/>
  <c r="E503" i="17" s="1"/>
  <c r="E502" l="1"/>
  <c r="T502" s="1"/>
  <c r="T503"/>
  <c r="S479" i="11"/>
  <c r="F724" i="17"/>
  <c r="R24" i="11"/>
  <c r="E660" i="17"/>
  <c r="S1126" i="11"/>
  <c r="F284" i="17"/>
  <c r="R19" i="11"/>
  <c r="E655" i="17"/>
  <c r="R1126" i="11"/>
  <c r="E284" i="17"/>
  <c r="S259" i="11"/>
  <c r="F503" i="17"/>
  <c r="S391" i="11"/>
  <c r="F266" i="17"/>
  <c r="U266" s="1"/>
  <c r="S1342" i="11"/>
  <c r="F596" i="17"/>
  <c r="R391" i="11"/>
  <c r="E266" i="17"/>
  <c r="T266" s="1"/>
  <c r="R1342" i="11"/>
  <c r="E596" i="17"/>
  <c r="R259" i="11"/>
  <c r="F283" i="17" l="1"/>
  <c r="U283" s="1"/>
  <c r="U284"/>
  <c r="E501"/>
  <c r="E491" s="1"/>
  <c r="E283"/>
  <c r="T283" s="1"/>
  <c r="T284"/>
  <c r="F723"/>
  <c r="U723" s="1"/>
  <c r="U724"/>
  <c r="E595"/>
  <c r="T595" s="1"/>
  <c r="T596"/>
  <c r="F595"/>
  <c r="F594" s="1"/>
  <c r="U596"/>
  <c r="F502"/>
  <c r="F501" s="1"/>
  <c r="U503"/>
  <c r="E654"/>
  <c r="E651" s="1"/>
  <c r="T655"/>
  <c r="E659"/>
  <c r="T659" s="1"/>
  <c r="T660"/>
  <c r="N29" i="25"/>
  <c r="U502" i="17" l="1"/>
  <c r="E656"/>
  <c r="T656" s="1"/>
  <c r="E594"/>
  <c r="T594" s="1"/>
  <c r="T501"/>
  <c r="U595"/>
  <c r="F716"/>
  <c r="F715" s="1"/>
  <c r="U715" s="1"/>
  <c r="T654"/>
  <c r="F491"/>
  <c r="U501"/>
  <c r="T651"/>
  <c r="E458"/>
  <c r="T458" s="1"/>
  <c r="T491"/>
  <c r="F593"/>
  <c r="U593" s="1"/>
  <c r="U594"/>
  <c r="S534" i="11"/>
  <c r="R534"/>
  <c r="S435"/>
  <c r="R435"/>
  <c r="S434"/>
  <c r="R434"/>
  <c r="S397"/>
  <c r="R397"/>
  <c r="S396"/>
  <c r="R396"/>
  <c r="S342"/>
  <c r="R342"/>
  <c r="S341"/>
  <c r="R341"/>
  <c r="E593" i="17" l="1"/>
  <c r="T593" s="1"/>
  <c r="E644"/>
  <c r="T644" s="1"/>
  <c r="U716"/>
  <c r="F458"/>
  <c r="U458" s="1"/>
  <c r="U491"/>
  <c r="S627" i="11"/>
  <c r="R627"/>
  <c r="M24" i="25"/>
  <c r="R597" i="11" l="1"/>
  <c r="G20" i="33" l="1"/>
  <c r="D35" i="35"/>
  <c r="D34" s="1"/>
  <c r="M19" i="25"/>
  <c r="H20" i="33" l="1"/>
  <c r="E36" i="35"/>
  <c r="K20" i="33"/>
  <c r="E37" i="35"/>
  <c r="S597" i="11"/>
  <c r="E35" i="35" l="1"/>
  <c r="E34" s="1"/>
  <c r="S633" i="11"/>
  <c r="R633"/>
  <c r="C6" i="21"/>
  <c r="A6" i="33" l="1"/>
  <c r="A8" s="1"/>
  <c r="A7" s="1"/>
  <c r="C34" i="30"/>
  <c r="C29" i="23" l="1"/>
  <c r="H25" i="30"/>
  <c r="H24"/>
  <c r="H23"/>
  <c r="H22"/>
  <c r="H18"/>
  <c r="H16"/>
  <c r="H14"/>
  <c r="H13"/>
  <c r="H12"/>
  <c r="H10"/>
  <c r="C17" i="23" l="1"/>
  <c r="C37"/>
  <c r="C33"/>
  <c r="C32"/>
  <c r="C41"/>
  <c r="C34"/>
  <c r="C35"/>
  <c r="I7" i="30"/>
  <c r="D37" i="23" l="1"/>
  <c r="D33"/>
  <c r="D29"/>
  <c r="D41"/>
  <c r="D32"/>
  <c r="D35"/>
  <c r="C18"/>
  <c r="C23"/>
  <c r="C19"/>
  <c r="C24"/>
  <c r="C16"/>
  <c r="C8"/>
  <c r="C7" i="30"/>
  <c r="D23" i="23" l="1"/>
  <c r="D24"/>
  <c r="D17"/>
  <c r="D18"/>
  <c r="D16"/>
  <c r="D19"/>
  <c r="D8"/>
  <c r="C34" i="28"/>
  <c r="C25" i="23" l="1"/>
  <c r="M30" i="28"/>
  <c r="H28"/>
  <c r="D25" i="23" l="1"/>
  <c r="H25" i="28"/>
  <c r="H24" l="1"/>
  <c r="H23"/>
  <c r="H22"/>
  <c r="H18" l="1"/>
  <c r="H16" l="1"/>
  <c r="H14" l="1"/>
  <c r="H13"/>
  <c r="H12" l="1"/>
  <c r="H10"/>
  <c r="C7"/>
  <c r="C32" i="24"/>
  <c r="H25" l="1"/>
  <c r="H24"/>
  <c r="H23"/>
  <c r="H22"/>
  <c r="H18" l="1"/>
  <c r="H16" l="1"/>
  <c r="H14" l="1"/>
  <c r="H13" l="1"/>
  <c r="H12" l="1"/>
  <c r="H10" l="1"/>
  <c r="C7" l="1"/>
  <c r="K45" i="29" l="1"/>
  <c r="J45" l="1"/>
  <c r="C33" l="1"/>
  <c r="H27" l="1"/>
  <c r="H26"/>
  <c r="H25"/>
  <c r="H24"/>
  <c r="H22"/>
  <c r="H21"/>
  <c r="H20"/>
  <c r="H19"/>
  <c r="H18"/>
  <c r="H17"/>
  <c r="H16"/>
  <c r="H13"/>
  <c r="H10"/>
  <c r="I6"/>
  <c r="C6"/>
  <c r="K44" i="27" l="1"/>
  <c r="J44" l="1"/>
  <c r="E41" l="1"/>
  <c r="D41"/>
  <c r="D43" s="1"/>
  <c r="C41" l="1"/>
  <c r="C33" l="1"/>
  <c r="K30"/>
  <c r="H27"/>
  <c r="H26"/>
  <c r="H25"/>
  <c r="H24"/>
  <c r="H22"/>
  <c r="H21"/>
  <c r="H20"/>
  <c r="H19"/>
  <c r="H18"/>
  <c r="H17"/>
  <c r="H16"/>
  <c r="K31" l="1"/>
  <c r="H13"/>
  <c r="H10" l="1"/>
  <c r="I6" l="1"/>
  <c r="C6"/>
  <c r="H53" i="21" l="1"/>
  <c r="G53"/>
  <c r="F53"/>
  <c r="K52"/>
  <c r="K53" s="1"/>
  <c r="J52"/>
  <c r="I52" l="1"/>
  <c r="I53" s="1"/>
  <c r="J53"/>
  <c r="K45"/>
  <c r="J45" l="1"/>
  <c r="E41" l="1"/>
  <c r="E42" s="1"/>
  <c r="D41"/>
  <c r="D42" s="1"/>
  <c r="C41" l="1"/>
  <c r="C42" s="1"/>
  <c r="E34" l="1"/>
  <c r="D34"/>
  <c r="C34"/>
  <c r="C31"/>
  <c r="H26" l="1"/>
  <c r="H25"/>
  <c r="H24"/>
  <c r="H22"/>
  <c r="H21"/>
  <c r="H20"/>
  <c r="H19"/>
  <c r="H18"/>
  <c r="H17"/>
  <c r="H16"/>
  <c r="H13" l="1"/>
  <c r="H10" l="1"/>
  <c r="C58" i="23" l="1"/>
  <c r="D55" l="1"/>
  <c r="C55"/>
  <c r="D54"/>
  <c r="C54"/>
  <c r="D53" l="1"/>
  <c r="C53"/>
  <c r="C63" s="1"/>
  <c r="D52" l="1"/>
  <c r="C52" s="1"/>
  <c r="D37" i="26" l="1"/>
  <c r="D36"/>
  <c r="F36" s="1"/>
  <c r="E35"/>
  <c r="F35" l="1"/>
  <c r="J36"/>
  <c r="J35" s="1"/>
  <c r="D35"/>
  <c r="C35"/>
  <c r="B35" l="1"/>
  <c r="O29" l="1"/>
  <c r="N29"/>
  <c r="M29"/>
  <c r="I45" i="29"/>
  <c r="D5" i="31" l="1"/>
  <c r="B24" i="26" l="1"/>
  <c r="Q19"/>
  <c r="Q18"/>
  <c r="P18"/>
  <c r="Q17"/>
  <c r="Q16"/>
  <c r="P16"/>
  <c r="E20"/>
  <c r="E31" s="1"/>
  <c r="P14"/>
  <c r="P13"/>
  <c r="P12"/>
  <c r="Q11"/>
  <c r="P11"/>
  <c r="Q10"/>
  <c r="Q9"/>
  <c r="P9"/>
  <c r="Q8"/>
  <c r="P8"/>
  <c r="Q7"/>
  <c r="P7"/>
  <c r="Q6"/>
  <c r="P6"/>
  <c r="Q5"/>
  <c r="P5"/>
  <c r="Q4"/>
  <c r="P4"/>
  <c r="Q3"/>
  <c r="P3"/>
  <c r="B20" l="1"/>
  <c r="B30" s="1"/>
  <c r="B29" s="1"/>
  <c r="B32" s="1"/>
  <c r="Q15"/>
  <c r="P15" s="1"/>
  <c r="P10"/>
  <c r="Q13"/>
  <c r="P19"/>
  <c r="C20"/>
  <c r="Q12"/>
  <c r="Q14"/>
  <c r="P17"/>
  <c r="B39" i="25"/>
  <c r="B40" s="1"/>
  <c r="D37"/>
  <c r="E37" s="1"/>
  <c r="F37" s="1"/>
  <c r="L37" s="1"/>
  <c r="N35"/>
  <c r="M35"/>
  <c r="C35"/>
  <c r="B35"/>
  <c r="P20" i="26" l="1"/>
  <c r="D20"/>
  <c r="D30" s="1"/>
  <c r="F30" s="1"/>
  <c r="J30" s="1"/>
  <c r="N34" i="25"/>
  <c r="C31" i="26"/>
  <c r="C24"/>
  <c r="Q20"/>
  <c r="J29" l="1"/>
  <c r="J32" s="1"/>
  <c r="F29"/>
  <c r="D4" i="31"/>
  <c r="D31" i="26"/>
  <c r="F31" s="1"/>
  <c r="J31" s="1"/>
  <c r="C29"/>
  <c r="C32" s="1"/>
  <c r="F32" l="1"/>
  <c r="K38" i="29"/>
  <c r="C34" i="26"/>
  <c r="B34" s="1"/>
  <c r="O30" i="25"/>
  <c r="M29" l="1"/>
  <c r="I44" i="27" s="1"/>
  <c r="N24" i="25" l="1"/>
  <c r="M34"/>
  <c r="C5" i="31" s="1"/>
  <c r="B24" i="25" l="1"/>
  <c r="D19" l="1"/>
  <c r="F19" l="1"/>
  <c r="B20"/>
  <c r="B30" s="1"/>
  <c r="C20"/>
  <c r="C30" s="1"/>
  <c r="F20" l="1"/>
  <c r="L19"/>
  <c r="D20"/>
  <c r="D30" s="1"/>
  <c r="F30" s="1"/>
  <c r="L30" s="1"/>
  <c r="L29" s="1"/>
  <c r="L34" s="1"/>
  <c r="C4" i="31"/>
  <c r="B29" i="25"/>
  <c r="L20" l="1"/>
  <c r="B16" i="1" s="1"/>
  <c r="N19" i="25"/>
  <c r="B32"/>
  <c r="B34"/>
  <c r="D29"/>
  <c r="F29" s="1"/>
  <c r="C29"/>
  <c r="C24"/>
  <c r="C32" l="1"/>
  <c r="C34"/>
  <c r="D24"/>
  <c r="D34" l="1"/>
  <c r="D36" s="1"/>
  <c r="D35" s="1"/>
  <c r="F24"/>
  <c r="F34" s="1"/>
  <c r="F36" s="1"/>
  <c r="F35" l="1"/>
  <c r="L36"/>
  <c r="L35" s="1"/>
  <c r="C6" i="31"/>
  <c r="I45" i="21"/>
  <c r="J35" l="1"/>
  <c r="I35"/>
  <c r="I41" i="23" l="1"/>
  <c r="J41" s="1"/>
  <c r="I24" i="30" l="1"/>
  <c r="J24" s="1"/>
  <c r="G24" s="1"/>
  <c r="F24" s="1"/>
  <c r="I24" i="28"/>
  <c r="F41" i="23"/>
  <c r="G41" s="1"/>
  <c r="J24" i="28" l="1"/>
  <c r="G24" s="1"/>
  <c r="F24" s="1"/>
  <c r="I24" i="24"/>
  <c r="M24" l="1"/>
  <c r="J24"/>
  <c r="G24" s="1"/>
  <c r="F24" s="1"/>
  <c r="K20" i="28" l="1"/>
  <c r="H20" s="1"/>
  <c r="K20" i="30"/>
  <c r="H20" s="1"/>
  <c r="K21" i="28"/>
  <c r="H21" s="1"/>
  <c r="K19"/>
  <c r="H19" s="1"/>
  <c r="I37" i="23"/>
  <c r="K19" i="30"/>
  <c r="H19" s="1"/>
  <c r="K21"/>
  <c r="H21" s="1"/>
  <c r="K21" i="24" l="1"/>
  <c r="H21" s="1"/>
  <c r="K20"/>
  <c r="H20" s="1"/>
  <c r="K19"/>
  <c r="H19" s="1"/>
  <c r="I20" i="28"/>
  <c r="F37" i="23"/>
  <c r="G37" s="1"/>
  <c r="I20" i="30"/>
  <c r="J37" i="23"/>
  <c r="J20" i="30" l="1"/>
  <c r="G20" s="1"/>
  <c r="F20" s="1"/>
  <c r="J20" i="28"/>
  <c r="G20" s="1"/>
  <c r="F20" s="1"/>
  <c r="I33" i="23" l="1"/>
  <c r="I35"/>
  <c r="I18" i="30" s="1"/>
  <c r="I16" i="28"/>
  <c r="K17" i="24"/>
  <c r="H17" s="1"/>
  <c r="F33" i="23"/>
  <c r="G33" s="1"/>
  <c r="K17" i="28"/>
  <c r="H17" s="1"/>
  <c r="I20" i="24"/>
  <c r="J35" i="23" l="1"/>
  <c r="F35"/>
  <c r="G35" s="1"/>
  <c r="I18" i="28"/>
  <c r="J18" s="1"/>
  <c r="G18" s="1"/>
  <c r="F18" s="1"/>
  <c r="K15" i="30"/>
  <c r="H15" s="1"/>
  <c r="K15" i="28"/>
  <c r="H15" s="1"/>
  <c r="M20" i="24"/>
  <c r="J20"/>
  <c r="G20" s="1"/>
  <c r="F20" s="1"/>
  <c r="I16" i="30"/>
  <c r="J33" i="23"/>
  <c r="J16" i="28"/>
  <c r="G16" s="1"/>
  <c r="F16" s="1"/>
  <c r="J18" i="30"/>
  <c r="G18" s="1"/>
  <c r="F18" s="1"/>
  <c r="F34" i="23" l="1"/>
  <c r="G34" s="1"/>
  <c r="I17" i="28"/>
  <c r="J17" s="1"/>
  <c r="G17" s="1"/>
  <c r="F17" s="1"/>
  <c r="I16" i="24"/>
  <c r="J16" i="30"/>
  <c r="G16" s="1"/>
  <c r="F16" s="1"/>
  <c r="K15" i="24"/>
  <c r="H15" s="1"/>
  <c r="I18"/>
  <c r="J18" l="1"/>
  <c r="G18" s="1"/>
  <c r="F18" s="1"/>
  <c r="M18"/>
  <c r="M16"/>
  <c r="J16"/>
  <c r="G16" s="1"/>
  <c r="F16" s="1"/>
  <c r="I32" i="23" l="1"/>
  <c r="J32" s="1"/>
  <c r="I15" i="28"/>
  <c r="F32" i="23"/>
  <c r="G32" s="1"/>
  <c r="I29"/>
  <c r="I15" i="30" l="1"/>
  <c r="J15" s="1"/>
  <c r="G15" s="1"/>
  <c r="F15" s="1"/>
  <c r="K11" i="28"/>
  <c r="J15"/>
  <c r="G15" s="1"/>
  <c r="F15" s="1"/>
  <c r="K11" i="30"/>
  <c r="I12"/>
  <c r="J29" i="23"/>
  <c r="I12" i="28"/>
  <c r="F29" i="23"/>
  <c r="G29" s="1"/>
  <c r="K11" i="24"/>
  <c r="J12" i="30" l="1"/>
  <c r="G12" s="1"/>
  <c r="F12" s="1"/>
  <c r="H11" i="24"/>
  <c r="J12" i="28"/>
  <c r="G12" s="1"/>
  <c r="F12" s="1"/>
  <c r="H11"/>
  <c r="I15" i="24"/>
  <c r="H11" i="30"/>
  <c r="J15" i="24" l="1"/>
  <c r="G15" s="1"/>
  <c r="F15" s="1"/>
  <c r="M15"/>
  <c r="K27" i="21" l="1"/>
  <c r="H27" l="1"/>
  <c r="F25" i="23" l="1"/>
  <c r="F24"/>
  <c r="I23" l="1"/>
  <c r="J23" s="1"/>
  <c r="L26" i="27"/>
  <c r="G24" i="23"/>
  <c r="F23"/>
  <c r="I24"/>
  <c r="L27" i="27"/>
  <c r="G25" i="23"/>
  <c r="I25" i="29" l="1"/>
  <c r="J25" s="1"/>
  <c r="G25" s="1"/>
  <c r="F25" s="1"/>
  <c r="L25"/>
  <c r="I26"/>
  <c r="L26"/>
  <c r="J24" i="23"/>
  <c r="L25" i="27"/>
  <c r="G23" i="23"/>
  <c r="M25" i="29" l="1"/>
  <c r="I25" i="23"/>
  <c r="I27" i="29"/>
  <c r="J26"/>
  <c r="G26" s="1"/>
  <c r="F26" s="1"/>
  <c r="L25" i="21"/>
  <c r="I25"/>
  <c r="M26" i="29"/>
  <c r="J25" i="23" l="1"/>
  <c r="L27" i="29"/>
  <c r="J27" s="1"/>
  <c r="G27" s="1"/>
  <c r="F27" s="1"/>
  <c r="L26" i="21"/>
  <c r="I26"/>
  <c r="J25"/>
  <c r="G25" s="1"/>
  <c r="F25" s="1"/>
  <c r="J26" l="1"/>
  <c r="G26" s="1"/>
  <c r="F26" s="1"/>
  <c r="M25" s="1"/>
  <c r="M26"/>
  <c r="K23" i="29" l="1"/>
  <c r="K23" i="27"/>
  <c r="K23" i="21" l="1"/>
  <c r="H23" i="29"/>
  <c r="H23" i="27"/>
  <c r="H23" i="21" l="1"/>
  <c r="I19" i="23" l="1"/>
  <c r="L21" i="29" s="1"/>
  <c r="F19" i="23"/>
  <c r="I21" i="29" l="1"/>
  <c r="J21" s="1"/>
  <c r="G21" s="1"/>
  <c r="F21" s="1"/>
  <c r="J19" i="23"/>
  <c r="L21" i="27"/>
  <c r="G19" i="23"/>
  <c r="M21" i="29" l="1"/>
  <c r="F18" i="23" l="1"/>
  <c r="I21" i="21"/>
  <c r="L21"/>
  <c r="M21" l="1"/>
  <c r="I18" i="23"/>
  <c r="I20" i="29" s="1"/>
  <c r="L20" i="27"/>
  <c r="G18" i="23"/>
  <c r="J21" i="21"/>
  <c r="G21" s="1"/>
  <c r="F21" s="1"/>
  <c r="J18" i="23" l="1"/>
  <c r="L20" i="29"/>
  <c r="M20" s="1"/>
  <c r="J20"/>
  <c r="G20" s="1"/>
  <c r="F20" s="1"/>
  <c r="B444" i="17" l="1"/>
  <c r="Q444" s="1"/>
  <c r="F17" i="23"/>
  <c r="F16"/>
  <c r="I16"/>
  <c r="I18" i="29" l="1"/>
  <c r="L18"/>
  <c r="J16" i="23"/>
  <c r="L18" i="27"/>
  <c r="G16" i="23"/>
  <c r="L19" i="27"/>
  <c r="G17" i="23"/>
  <c r="I17" l="1"/>
  <c r="M18" i="29"/>
  <c r="J18"/>
  <c r="G18" s="1"/>
  <c r="F18" s="1"/>
  <c r="J17" i="23" l="1"/>
  <c r="I19" i="29"/>
  <c r="L19"/>
  <c r="L18" i="21"/>
  <c r="I18"/>
  <c r="M19" i="29" l="1"/>
  <c r="J19"/>
  <c r="G19" s="1"/>
  <c r="F19" s="1"/>
  <c r="J18" i="21"/>
  <c r="G18" s="1"/>
  <c r="F18" s="1"/>
  <c r="B259" i="17" l="1"/>
  <c r="Q259" s="1"/>
  <c r="C128" l="1"/>
  <c r="R128" s="1"/>
  <c r="B128"/>
  <c r="Q128" s="1"/>
  <c r="C127"/>
  <c r="R127" s="1"/>
  <c r="B127"/>
  <c r="Q127" s="1"/>
  <c r="C126"/>
  <c r="R126" s="1"/>
  <c r="B126"/>
  <c r="Q126" s="1"/>
  <c r="I8" i="23" l="1"/>
  <c r="I10" i="29" s="1"/>
  <c r="F8" i="23"/>
  <c r="L10" i="29" l="1"/>
  <c r="M10" s="1"/>
  <c r="J8" i="23"/>
  <c r="L10" i="27"/>
  <c r="G8" i="23"/>
  <c r="J10" i="29"/>
  <c r="G10" s="1"/>
  <c r="F10" s="1"/>
  <c r="L10" i="21" l="1"/>
  <c r="I10"/>
  <c r="J10" l="1"/>
  <c r="G10" s="1"/>
  <c r="F10" s="1"/>
  <c r="I1380" i="11" l="1"/>
  <c r="S1380" s="1"/>
  <c r="H1380"/>
  <c r="R1380" s="1"/>
  <c r="F45" i="23" l="1"/>
  <c r="C47" i="18"/>
  <c r="I45" i="23"/>
  <c r="D47" i="18"/>
  <c r="I1378" i="11"/>
  <c r="S1378" s="1"/>
  <c r="H1378"/>
  <c r="R1378" s="1"/>
  <c r="H1377" l="1"/>
  <c r="R1377" s="1"/>
  <c r="I1377"/>
  <c r="S1377" s="1"/>
  <c r="J28" i="28"/>
  <c r="G28" s="1"/>
  <c r="F28" s="1"/>
  <c r="G45" i="23"/>
  <c r="L28" i="28"/>
  <c r="I28"/>
  <c r="J45" i="23"/>
  <c r="L28" i="30"/>
  <c r="I28"/>
  <c r="J28" s="1"/>
  <c r="G28" s="1"/>
  <c r="F28" s="1"/>
  <c r="I1374" i="11"/>
  <c r="S1374" l="1"/>
  <c r="F861" i="17"/>
  <c r="I1371" i="11"/>
  <c r="S1371" s="1"/>
  <c r="H1375"/>
  <c r="R1375" s="1"/>
  <c r="H1371"/>
  <c r="R1371" s="1"/>
  <c r="M28" i="28"/>
  <c r="I1375" i="11"/>
  <c r="S1375" s="1"/>
  <c r="F858" i="17" l="1"/>
  <c r="U858" s="1"/>
  <c r="U861"/>
  <c r="I1370" i="11"/>
  <c r="S1370" s="1"/>
  <c r="H1370"/>
  <c r="R1370" s="1"/>
  <c r="F857" i="17" l="1"/>
  <c r="U857" s="1"/>
  <c r="I1369" i="11"/>
  <c r="S1369" s="1"/>
  <c r="H1369"/>
  <c r="R1369" s="1"/>
  <c r="F856" i="17" l="1"/>
  <c r="U856" s="1"/>
  <c r="C42" i="23"/>
  <c r="I1368" i="11"/>
  <c r="S1368" s="1"/>
  <c r="H1368"/>
  <c r="R1368" s="1"/>
  <c r="D42" i="23" l="1"/>
  <c r="I42"/>
  <c r="I25" i="30" s="1"/>
  <c r="J25" s="1"/>
  <c r="G25" s="1"/>
  <c r="F25" s="1"/>
  <c r="I25" i="28"/>
  <c r="J25" s="1"/>
  <c r="G25" s="1"/>
  <c r="F25" s="1"/>
  <c r="I1367" i="11"/>
  <c r="S1367" s="1"/>
  <c r="I25" i="24"/>
  <c r="J25" s="1"/>
  <c r="G25" s="1"/>
  <c r="F25" s="1"/>
  <c r="F42" i="23"/>
  <c r="G42" s="1"/>
  <c r="H1367" i="11"/>
  <c r="R1367" s="1"/>
  <c r="I1363"/>
  <c r="S1363" s="1"/>
  <c r="H1363"/>
  <c r="R1363" s="1"/>
  <c r="I1360"/>
  <c r="S1360" s="1"/>
  <c r="H1360"/>
  <c r="R1360" s="1"/>
  <c r="S1353"/>
  <c r="R1353"/>
  <c r="I1349"/>
  <c r="S1349" s="1"/>
  <c r="H1349"/>
  <c r="R1349" s="1"/>
  <c r="I1346"/>
  <c r="S1346" s="1"/>
  <c r="H1346"/>
  <c r="R1346" s="1"/>
  <c r="I1359" l="1"/>
  <c r="S1359" s="1"/>
  <c r="H1359"/>
  <c r="R1359" s="1"/>
  <c r="H1366"/>
  <c r="R1366" s="1"/>
  <c r="J42" i="23"/>
  <c r="I1366" i="11"/>
  <c r="M25" i="24"/>
  <c r="H1345" i="11"/>
  <c r="R1345" s="1"/>
  <c r="I1348"/>
  <c r="S1348" s="1"/>
  <c r="H1348"/>
  <c r="R1348" s="1"/>
  <c r="I1345"/>
  <c r="S1345" s="1"/>
  <c r="H1352"/>
  <c r="R1352" s="1"/>
  <c r="H1341"/>
  <c r="R1341" s="1"/>
  <c r="I1352"/>
  <c r="S1352" s="1"/>
  <c r="I1341"/>
  <c r="S1341" s="1"/>
  <c r="I1337"/>
  <c r="S1337" s="1"/>
  <c r="H1337"/>
  <c r="R1337" s="1"/>
  <c r="I1331"/>
  <c r="S1331" s="1"/>
  <c r="I1328"/>
  <c r="S1328" s="1"/>
  <c r="H1328"/>
  <c r="R1328" s="1"/>
  <c r="I1319"/>
  <c r="S1319" s="1"/>
  <c r="H1319"/>
  <c r="R1319" s="1"/>
  <c r="S1366" l="1"/>
  <c r="I1330"/>
  <c r="S1330" s="1"/>
  <c r="H1330"/>
  <c r="R1330" s="1"/>
  <c r="I1340"/>
  <c r="S1340" s="1"/>
  <c r="H1340"/>
  <c r="R1340" s="1"/>
  <c r="K18" i="26"/>
  <c r="L18" s="1"/>
  <c r="M18" i="25"/>
  <c r="N18" s="1"/>
  <c r="H1336" i="11"/>
  <c r="R1336" s="1"/>
  <c r="I1318"/>
  <c r="S1318" s="1"/>
  <c r="I1327"/>
  <c r="I1358"/>
  <c r="S1358" s="1"/>
  <c r="H1351"/>
  <c r="R1351" s="1"/>
  <c r="H1318"/>
  <c r="R1318" s="1"/>
  <c r="H1327"/>
  <c r="H1358"/>
  <c r="R1358" s="1"/>
  <c r="I1351"/>
  <c r="S1351" s="1"/>
  <c r="I1336"/>
  <c r="S1336" s="1"/>
  <c r="S1313"/>
  <c r="R1313" l="1"/>
  <c r="H1312"/>
  <c r="R1327"/>
  <c r="H1326"/>
  <c r="R1326" s="1"/>
  <c r="S1327"/>
  <c r="I1326"/>
  <c r="S1326" s="1"/>
  <c r="I1335"/>
  <c r="S1335" s="1"/>
  <c r="H1339"/>
  <c r="R1339" s="1"/>
  <c r="I1317"/>
  <c r="S1317" s="1"/>
  <c r="H1335"/>
  <c r="R1335" s="1"/>
  <c r="H1317"/>
  <c r="R1317" s="1"/>
  <c r="I1339"/>
  <c r="S1339" s="1"/>
  <c r="H1325" l="1"/>
  <c r="I1325"/>
  <c r="I1316"/>
  <c r="S1316" s="1"/>
  <c r="H1316"/>
  <c r="R1316" s="1"/>
  <c r="S1312"/>
  <c r="R1312"/>
  <c r="S1325" l="1"/>
  <c r="I1324"/>
  <c r="S1324" s="1"/>
  <c r="R1325"/>
  <c r="H1324"/>
  <c r="R1324" s="1"/>
  <c r="H1315"/>
  <c r="R1315" s="1"/>
  <c r="I1315"/>
  <c r="S1315" s="1"/>
  <c r="H1314" l="1"/>
  <c r="R1314" s="1"/>
  <c r="I1314"/>
  <c r="S1314" s="1"/>
  <c r="D11" i="18"/>
  <c r="I1323" i="11"/>
  <c r="S1323" s="1"/>
  <c r="C11" i="18"/>
  <c r="H1323" i="11"/>
  <c r="R1323" s="1"/>
  <c r="I1322" l="1"/>
  <c r="H1322"/>
  <c r="R1322" s="1"/>
  <c r="S1322" l="1"/>
  <c r="K17" i="26"/>
  <c r="L17" s="1"/>
  <c r="M17" i="25"/>
  <c r="N17" s="1"/>
  <c r="R1311" i="11"/>
  <c r="E23" i="35" l="1"/>
  <c r="E21" s="1"/>
  <c r="E14" s="1"/>
  <c r="E13" s="1"/>
  <c r="K27" i="33"/>
  <c r="S1311" i="11"/>
  <c r="U101" i="17" l="1"/>
  <c r="H1307" i="11"/>
  <c r="H1305" l="1"/>
  <c r="H1306"/>
  <c r="F100" i="17"/>
  <c r="U100" s="1"/>
  <c r="R1310" i="11"/>
  <c r="I1307"/>
  <c r="I1306" s="1"/>
  <c r="S1300"/>
  <c r="R1302" l="1"/>
  <c r="E95" i="17"/>
  <c r="E94" s="1"/>
  <c r="I1305" i="11"/>
  <c r="F97" i="17"/>
  <c r="S1310" i="11"/>
  <c r="R1307"/>
  <c r="R1301"/>
  <c r="I1299"/>
  <c r="S1299" l="1"/>
  <c r="I1298"/>
  <c r="I1297" s="1"/>
  <c r="T95" i="17"/>
  <c r="U97"/>
  <c r="F96"/>
  <c r="F87"/>
  <c r="U87" s="1"/>
  <c r="S1307" i="11"/>
  <c r="I1304"/>
  <c r="I1303" s="1"/>
  <c r="R1305"/>
  <c r="H1298"/>
  <c r="T94" i="17" l="1"/>
  <c r="E91"/>
  <c r="S1298" i="11"/>
  <c r="R1298"/>
  <c r="H1297"/>
  <c r="H1293" s="1"/>
  <c r="F86" i="17"/>
  <c r="U86" s="1"/>
  <c r="I1294" i="11"/>
  <c r="R1294"/>
  <c r="H1304"/>
  <c r="R1304" s="1"/>
  <c r="S1305"/>
  <c r="E90" i="17" l="1"/>
  <c r="T91"/>
  <c r="E87"/>
  <c r="F7"/>
  <c r="U7" s="1"/>
  <c r="I1293" i="11"/>
  <c r="S1294"/>
  <c r="H1303"/>
  <c r="R1303" s="1"/>
  <c r="S1304"/>
  <c r="T87" i="17" l="1"/>
  <c r="E86"/>
  <c r="T86" s="1"/>
  <c r="I1292" i="11"/>
  <c r="S1293"/>
  <c r="S1303"/>
  <c r="S1292" l="1"/>
  <c r="I1291"/>
  <c r="S1291" s="1"/>
  <c r="R1293"/>
  <c r="I1290" l="1"/>
  <c r="S1290" s="1"/>
  <c r="H1292"/>
  <c r="R1292" s="1"/>
  <c r="H1291" l="1"/>
  <c r="R1291" s="1"/>
  <c r="I1282"/>
  <c r="H1282"/>
  <c r="I1275"/>
  <c r="S1275" s="1"/>
  <c r="H1275"/>
  <c r="R1275" s="1"/>
  <c r="I1268"/>
  <c r="S1268" s="1"/>
  <c r="H1268"/>
  <c r="R1268" s="1"/>
  <c r="I1265"/>
  <c r="S1265" s="1"/>
  <c r="H1265"/>
  <c r="R1265" s="1"/>
  <c r="I1262"/>
  <c r="S1262" s="1"/>
  <c r="H1262"/>
  <c r="R1262" s="1"/>
  <c r="S1282" l="1"/>
  <c r="F324" i="17"/>
  <c r="R1282" i="11"/>
  <c r="E324" i="17"/>
  <c r="I1264" i="11"/>
  <c r="S1264" s="1"/>
  <c r="H1290"/>
  <c r="R1290" s="1"/>
  <c r="H1274"/>
  <c r="I1281"/>
  <c r="S1281" s="1"/>
  <c r="H1281"/>
  <c r="R1281" s="1"/>
  <c r="I1274"/>
  <c r="H1264"/>
  <c r="R1264" s="1"/>
  <c r="F323" i="17" l="1"/>
  <c r="U324"/>
  <c r="E323"/>
  <c r="T324"/>
  <c r="S1274" i="11"/>
  <c r="I1273"/>
  <c r="S1273" s="1"/>
  <c r="R1274"/>
  <c r="H1273"/>
  <c r="R1273" s="1"/>
  <c r="H1280"/>
  <c r="R1280" s="1"/>
  <c r="I1280"/>
  <c r="S1280" s="1"/>
  <c r="I1258"/>
  <c r="S1258" s="1"/>
  <c r="H1258"/>
  <c r="R1258" s="1"/>
  <c r="I1256"/>
  <c r="S1256" s="1"/>
  <c r="H1256"/>
  <c r="R1256" s="1"/>
  <c r="F319" i="17" l="1"/>
  <c r="U323"/>
  <c r="E319"/>
  <c r="T323"/>
  <c r="I1272" i="11"/>
  <c r="S1272" s="1"/>
  <c r="H1272"/>
  <c r="R1272" s="1"/>
  <c r="I1252"/>
  <c r="H1252"/>
  <c r="I1248"/>
  <c r="S1248" s="1"/>
  <c r="H1248"/>
  <c r="R1248" s="1"/>
  <c r="I1239"/>
  <c r="S1239" s="1"/>
  <c r="H1239"/>
  <c r="R1239" s="1"/>
  <c r="E318" i="17" l="1"/>
  <c r="T319"/>
  <c r="F318"/>
  <c r="U319"/>
  <c r="R1252" i="11"/>
  <c r="H1251"/>
  <c r="R1251" s="1"/>
  <c r="S1252"/>
  <c r="I1251"/>
  <c r="S1251" s="1"/>
  <c r="I1271"/>
  <c r="S1271" s="1"/>
  <c r="I1238"/>
  <c r="I1247"/>
  <c r="S1247" s="1"/>
  <c r="H1238"/>
  <c r="H1247"/>
  <c r="R1247" s="1"/>
  <c r="H1271"/>
  <c r="R1271" s="1"/>
  <c r="I1232"/>
  <c r="S1232" s="1"/>
  <c r="H1232"/>
  <c r="R1232" s="1"/>
  <c r="T318" i="17" l="1"/>
  <c r="F11" i="23"/>
  <c r="C11"/>
  <c r="U318" i="17"/>
  <c r="I11" i="23"/>
  <c r="D11"/>
  <c r="S1238" i="11"/>
  <c r="I1237"/>
  <c r="R1238"/>
  <c r="H1237"/>
  <c r="H1250"/>
  <c r="R1250" s="1"/>
  <c r="C40" i="23"/>
  <c r="I1246" i="11"/>
  <c r="S1246" s="1"/>
  <c r="I1250"/>
  <c r="S1250" s="1"/>
  <c r="H1246"/>
  <c r="R1246" s="1"/>
  <c r="H1270"/>
  <c r="R1270" s="1"/>
  <c r="I1270"/>
  <c r="S1270" s="1"/>
  <c r="I1231"/>
  <c r="S1231" s="1"/>
  <c r="H1231"/>
  <c r="R1231" s="1"/>
  <c r="L13" i="29" l="1"/>
  <c r="I13"/>
  <c r="J11" i="23"/>
  <c r="L13" i="27"/>
  <c r="G11" i="23"/>
  <c r="D40"/>
  <c r="I40"/>
  <c r="I23" i="30" s="1"/>
  <c r="F40" i="23"/>
  <c r="G40" s="1"/>
  <c r="S1237" i="11"/>
  <c r="R1237"/>
  <c r="I23" i="28"/>
  <c r="J23" s="1"/>
  <c r="G23" s="1"/>
  <c r="F23" s="1"/>
  <c r="I1245" i="11"/>
  <c r="S1245" s="1"/>
  <c r="H1245"/>
  <c r="R1245" s="1"/>
  <c r="L13" i="21"/>
  <c r="I13"/>
  <c r="I1230" i="11"/>
  <c r="S1230" s="1"/>
  <c r="H1230"/>
  <c r="R1230" s="1"/>
  <c r="J13" i="29" l="1"/>
  <c r="G13" s="1"/>
  <c r="F13" s="1"/>
  <c r="M13"/>
  <c r="J40" i="23"/>
  <c r="H1236" i="11"/>
  <c r="R1236" s="1"/>
  <c r="I1236"/>
  <c r="S1236" s="1"/>
  <c r="I1244"/>
  <c r="S1244" s="1"/>
  <c r="H1244"/>
  <c r="R1244" s="1"/>
  <c r="M13" i="21"/>
  <c r="J13"/>
  <c r="G13" s="1"/>
  <c r="F13" s="1"/>
  <c r="I1229" i="11"/>
  <c r="S1229" s="1"/>
  <c r="H1229"/>
  <c r="R1229" s="1"/>
  <c r="I1243" l="1"/>
  <c r="S1243" s="1"/>
  <c r="H1243"/>
  <c r="H1235"/>
  <c r="R1235" s="1"/>
  <c r="I1235"/>
  <c r="S1235" s="1"/>
  <c r="I23" i="24"/>
  <c r="J23" s="1"/>
  <c r="G23" s="1"/>
  <c r="F23" s="1"/>
  <c r="I1228" i="11"/>
  <c r="S1228" s="1"/>
  <c r="H1228"/>
  <c r="R1228" s="1"/>
  <c r="R1243" l="1"/>
  <c r="H1242"/>
  <c r="H1234"/>
  <c r="R1234" s="1"/>
  <c r="I1234"/>
  <c r="S1234" s="1"/>
  <c r="I1242"/>
  <c r="M23" i="24"/>
  <c r="I1227" i="11"/>
  <c r="S1227" s="1"/>
  <c r="H1227"/>
  <c r="R1227" s="1"/>
  <c r="I1225"/>
  <c r="S1225" s="1"/>
  <c r="H1225"/>
  <c r="R1225" s="1"/>
  <c r="R1242" l="1"/>
  <c r="S1242"/>
  <c r="K16" i="26"/>
  <c r="L16" s="1"/>
  <c r="M16" i="25"/>
  <c r="N16" s="1"/>
  <c r="I1222" i="11"/>
  <c r="R1222"/>
  <c r="S1222" l="1"/>
  <c r="F815" i="17"/>
  <c r="S1241" i="11"/>
  <c r="R1241"/>
  <c r="I1221"/>
  <c r="H1221"/>
  <c r="I1216"/>
  <c r="S1216" s="1"/>
  <c r="H1216"/>
  <c r="R1216" s="1"/>
  <c r="F814" i="17" l="1"/>
  <c r="U814" s="1"/>
  <c r="U815"/>
  <c r="S1221" i="11"/>
  <c r="I1220"/>
  <c r="S1220" s="1"/>
  <c r="R1221"/>
  <c r="H1220"/>
  <c r="R1220" s="1"/>
  <c r="I1215"/>
  <c r="S1215" s="1"/>
  <c r="H1215"/>
  <c r="R1215" s="1"/>
  <c r="I1213"/>
  <c r="S1213" s="1"/>
  <c r="H1213"/>
  <c r="R1213" s="1"/>
  <c r="F813" i="17" l="1"/>
  <c r="U813" s="1"/>
  <c r="H1219" i="11"/>
  <c r="R1219" s="1"/>
  <c r="I1219"/>
  <c r="S1219" s="1"/>
  <c r="I1212"/>
  <c r="S1212" s="1"/>
  <c r="H1212"/>
  <c r="R1212" s="1"/>
  <c r="F812" i="17" l="1"/>
  <c r="U812" s="1"/>
  <c r="C39" i="23"/>
  <c r="H1218" i="11"/>
  <c r="I1218"/>
  <c r="S1211"/>
  <c r="R1211"/>
  <c r="D39" i="23" l="1"/>
  <c r="R1218" i="11"/>
  <c r="C22" i="18"/>
  <c r="S1218" i="11"/>
  <c r="D22" i="18"/>
  <c r="F39" i="23"/>
  <c r="G39" s="1"/>
  <c r="I39"/>
  <c r="I22" i="30" s="1"/>
  <c r="J22" s="1"/>
  <c r="G22" s="1"/>
  <c r="F22" s="1"/>
  <c r="I22" i="28"/>
  <c r="J22" s="1"/>
  <c r="G22" s="1"/>
  <c r="F22" s="1"/>
  <c r="I1210" i="11"/>
  <c r="S1210" s="1"/>
  <c r="H1210"/>
  <c r="R1210" s="1"/>
  <c r="J39" i="23" l="1"/>
  <c r="H1209" i="11"/>
  <c r="R1209" s="1"/>
  <c r="I1209"/>
  <c r="S1209" s="1"/>
  <c r="I1204"/>
  <c r="S1204" s="1"/>
  <c r="H1204"/>
  <c r="R1204" s="1"/>
  <c r="R1200"/>
  <c r="S1200" l="1"/>
  <c r="I1199"/>
  <c r="H1208"/>
  <c r="R1208" s="1"/>
  <c r="I1203"/>
  <c r="S1203" s="1"/>
  <c r="H1203"/>
  <c r="R1203" s="1"/>
  <c r="I1208"/>
  <c r="S1208" s="1"/>
  <c r="I1207" l="1"/>
  <c r="S1207" s="1"/>
  <c r="H1202"/>
  <c r="R1202" s="1"/>
  <c r="I1202"/>
  <c r="S1202" s="1"/>
  <c r="H1207"/>
  <c r="R1207" s="1"/>
  <c r="S1199"/>
  <c r="H1199"/>
  <c r="I1195"/>
  <c r="S1195" s="1"/>
  <c r="H1195"/>
  <c r="R1195" s="1"/>
  <c r="S1194"/>
  <c r="S1198" l="1"/>
  <c r="F304" i="17"/>
  <c r="R1198" i="11"/>
  <c r="E304" i="17"/>
  <c r="R1199" i="11"/>
  <c r="H1193"/>
  <c r="R1193" s="1"/>
  <c r="H1197"/>
  <c r="R1197" s="1"/>
  <c r="I1193"/>
  <c r="S1193" s="1"/>
  <c r="H1201"/>
  <c r="R1201" s="1"/>
  <c r="H1206"/>
  <c r="R1206" s="1"/>
  <c r="I1201"/>
  <c r="S1201" s="1"/>
  <c r="I1206"/>
  <c r="S1206" s="1"/>
  <c r="I1197"/>
  <c r="S1197" s="1"/>
  <c r="I1191"/>
  <c r="S1191" s="1"/>
  <c r="H1191"/>
  <c r="R1191" s="1"/>
  <c r="I1189"/>
  <c r="H1189"/>
  <c r="R1189" s="1"/>
  <c r="I1186"/>
  <c r="S1186" s="1"/>
  <c r="H1186"/>
  <c r="R1186" s="1"/>
  <c r="F303" i="17" l="1"/>
  <c r="U303" s="1"/>
  <c r="U304"/>
  <c r="E303"/>
  <c r="T303" s="1"/>
  <c r="T304"/>
  <c r="S1189" i="11"/>
  <c r="I1188"/>
  <c r="S1188" s="1"/>
  <c r="H1188"/>
  <c r="R1188" s="1"/>
  <c r="I27" i="21"/>
  <c r="L27"/>
  <c r="I1185" i="11"/>
  <c r="S1185" s="1"/>
  <c r="H1185"/>
  <c r="R1185" s="1"/>
  <c r="I1183"/>
  <c r="S1183" s="1"/>
  <c r="H1183"/>
  <c r="R1183" s="1"/>
  <c r="E282" i="17" l="1"/>
  <c r="T282" s="1"/>
  <c r="F282"/>
  <c r="F272" s="1"/>
  <c r="U272" s="1"/>
  <c r="M27" i="21"/>
  <c r="J27"/>
  <c r="G27" s="1"/>
  <c r="F27" s="1"/>
  <c r="H1182" i="11"/>
  <c r="R1182" s="1"/>
  <c r="I1182"/>
  <c r="S1182" s="1"/>
  <c r="E272" i="17" l="1"/>
  <c r="T272" s="1"/>
  <c r="U282"/>
  <c r="I1181" i="11"/>
  <c r="S1181" s="1"/>
  <c r="H1181"/>
  <c r="R1181" s="1"/>
  <c r="I1180" l="1"/>
  <c r="S1180" s="1"/>
  <c r="H1180"/>
  <c r="R1180" s="1"/>
  <c r="I1179" l="1"/>
  <c r="H1179"/>
  <c r="S1178"/>
  <c r="R1178"/>
  <c r="S1179" l="1"/>
  <c r="R1179"/>
  <c r="I1177"/>
  <c r="S1177" s="1"/>
  <c r="H1177"/>
  <c r="R1177" s="1"/>
  <c r="H1176" l="1"/>
  <c r="I1176"/>
  <c r="I1170"/>
  <c r="S1170" s="1"/>
  <c r="H1170"/>
  <c r="R1170" s="1"/>
  <c r="R1176" l="1"/>
  <c r="H1175"/>
  <c r="R1175" s="1"/>
  <c r="S1176"/>
  <c r="I1175"/>
  <c r="S1175" s="1"/>
  <c r="I1169"/>
  <c r="S1169" s="1"/>
  <c r="H1169"/>
  <c r="R1169" s="1"/>
  <c r="I1165"/>
  <c r="H1165"/>
  <c r="I1163"/>
  <c r="S1163" s="1"/>
  <c r="H1163"/>
  <c r="R1163" s="1"/>
  <c r="S1165" l="1"/>
  <c r="I1162"/>
  <c r="S1162" s="1"/>
  <c r="R1165"/>
  <c r="H1162"/>
  <c r="R1162" s="1"/>
  <c r="H1174"/>
  <c r="R1174" s="1"/>
  <c r="I1174"/>
  <c r="S1174" s="1"/>
  <c r="I1168"/>
  <c r="S1168" s="1"/>
  <c r="H1168"/>
  <c r="R1168" s="1"/>
  <c r="S1161" l="1"/>
  <c r="F263" i="17"/>
  <c r="I1173" i="11"/>
  <c r="H1173"/>
  <c r="H1167"/>
  <c r="R1167" s="1"/>
  <c r="I1167"/>
  <c r="S1167" s="1"/>
  <c r="I1160"/>
  <c r="S1160" s="1"/>
  <c r="F262" i="17" l="1"/>
  <c r="U262" s="1"/>
  <c r="U263"/>
  <c r="R1161" i="11"/>
  <c r="E263" i="17"/>
  <c r="S1173" i="11"/>
  <c r="I1172"/>
  <c r="S1172" s="1"/>
  <c r="R1173"/>
  <c r="H1172"/>
  <c r="R1172" s="1"/>
  <c r="C20" i="18"/>
  <c r="D20"/>
  <c r="H1160" i="11"/>
  <c r="I1159"/>
  <c r="S1159" s="1"/>
  <c r="E262" i="17" l="1"/>
  <c r="E261" s="1"/>
  <c r="T261" s="1"/>
  <c r="T263"/>
  <c r="F261"/>
  <c r="U261" s="1"/>
  <c r="S1158" i="11"/>
  <c r="F260" i="17"/>
  <c r="R1158" i="11"/>
  <c r="E260" i="17"/>
  <c r="R1160" i="11"/>
  <c r="H1159"/>
  <c r="R1159" s="1"/>
  <c r="I1157"/>
  <c r="S1157" s="1"/>
  <c r="H1157"/>
  <c r="R1157" s="1"/>
  <c r="T262" i="17" l="1"/>
  <c r="F259"/>
  <c r="U259" s="1"/>
  <c r="U260"/>
  <c r="E259"/>
  <c r="T259" s="1"/>
  <c r="T260"/>
  <c r="I1156" i="11"/>
  <c r="S1156" s="1"/>
  <c r="H1156"/>
  <c r="R1156" s="1"/>
  <c r="E258" i="17" l="1"/>
  <c r="T258" s="1"/>
  <c r="F258"/>
  <c r="U258" s="1"/>
  <c r="S1153" i="11"/>
  <c r="R1153"/>
  <c r="I1152" l="1"/>
  <c r="S1152" s="1"/>
  <c r="H1152"/>
  <c r="R1152" s="1"/>
  <c r="S1149" l="1"/>
  <c r="F251" i="17"/>
  <c r="R1149" i="11"/>
  <c r="E251" i="17"/>
  <c r="I1148" i="11"/>
  <c r="S1148" s="1"/>
  <c r="H1148"/>
  <c r="R1148" s="1"/>
  <c r="I1146"/>
  <c r="S1146" s="1"/>
  <c r="H1146"/>
  <c r="R1146" s="1"/>
  <c r="I1144"/>
  <c r="S1144" s="1"/>
  <c r="H1144"/>
  <c r="R1144" s="1"/>
  <c r="I1142"/>
  <c r="H1142"/>
  <c r="H1141" l="1"/>
  <c r="R1141" s="1"/>
  <c r="F250" i="17"/>
  <c r="U250" s="1"/>
  <c r="U251"/>
  <c r="E250"/>
  <c r="T250" s="1"/>
  <c r="T251"/>
  <c r="R1142" i="11"/>
  <c r="S1142"/>
  <c r="I1141"/>
  <c r="S1141" s="1"/>
  <c r="I1137"/>
  <c r="S1137" s="1"/>
  <c r="H1137"/>
  <c r="R1137" s="1"/>
  <c r="I1136" l="1"/>
  <c r="S1136" s="1"/>
  <c r="I1140"/>
  <c r="S1140" s="1"/>
  <c r="H1136"/>
  <c r="R1136" s="1"/>
  <c r="H1140"/>
  <c r="R1140" s="1"/>
  <c r="H1135" l="1"/>
  <c r="R1135" s="1"/>
  <c r="I1135"/>
  <c r="S1135" s="1"/>
  <c r="H1139"/>
  <c r="R1139" s="1"/>
  <c r="I1139"/>
  <c r="S1139" s="1"/>
  <c r="I1131"/>
  <c r="H1131"/>
  <c r="R1131" l="1"/>
  <c r="H1130"/>
  <c r="R1130" s="1"/>
  <c r="S1131"/>
  <c r="I1130"/>
  <c r="S1130" s="1"/>
  <c r="H1134"/>
  <c r="R1134" s="1"/>
  <c r="I1134"/>
  <c r="S1134" s="1"/>
  <c r="I1125"/>
  <c r="S1125" s="1"/>
  <c r="H1125"/>
  <c r="R1125" s="1"/>
  <c r="I1129" l="1"/>
  <c r="S1129" s="1"/>
  <c r="H1133"/>
  <c r="R1133" s="1"/>
  <c r="I1133"/>
  <c r="S1133" s="1"/>
  <c r="H1129"/>
  <c r="R1129" s="1"/>
  <c r="I1124"/>
  <c r="S1124" s="1"/>
  <c r="I1128" l="1"/>
  <c r="S1128" s="1"/>
  <c r="H1128"/>
  <c r="R1128" s="1"/>
  <c r="H1124"/>
  <c r="R1124" s="1"/>
  <c r="I1127" l="1"/>
  <c r="S1127" s="1"/>
  <c r="H1127"/>
  <c r="R1127" s="1"/>
  <c r="I1123"/>
  <c r="S1123" s="1"/>
  <c r="H1123"/>
  <c r="R1123" s="1"/>
  <c r="D15" i="18" l="1"/>
  <c r="C15"/>
  <c r="I1122" i="11"/>
  <c r="S1122" s="1"/>
  <c r="H1122"/>
  <c r="R1122" s="1"/>
  <c r="I1121" l="1"/>
  <c r="S1121" s="1"/>
  <c r="H1121"/>
  <c r="R1121" s="1"/>
  <c r="D14" i="18" l="1"/>
  <c r="C14"/>
  <c r="I1120" i="11"/>
  <c r="S1120" s="1"/>
  <c r="H1120"/>
  <c r="R1120" s="1"/>
  <c r="I1114"/>
  <c r="S1114" s="1"/>
  <c r="H1114"/>
  <c r="R1114" s="1"/>
  <c r="I1113" l="1"/>
  <c r="S1113" s="1"/>
  <c r="H1113"/>
  <c r="R1113" s="1"/>
  <c r="I1110"/>
  <c r="S1110" s="1"/>
  <c r="H1110"/>
  <c r="R1110" s="1"/>
  <c r="I1112" l="1"/>
  <c r="S1112" s="1"/>
  <c r="H1112"/>
  <c r="R1112" s="1"/>
  <c r="I1108"/>
  <c r="S1108" s="1"/>
  <c r="H1108" l="1"/>
  <c r="R1108" s="1"/>
  <c r="I22" i="24" l="1"/>
  <c r="M22" s="1"/>
  <c r="I1107" i="11"/>
  <c r="S1107" s="1"/>
  <c r="H1107"/>
  <c r="R1107" s="1"/>
  <c r="J22" i="24" l="1"/>
  <c r="G22" s="1"/>
  <c r="F22" s="1"/>
  <c r="I1106" i="11"/>
  <c r="S1106" s="1"/>
  <c r="H1106"/>
  <c r="R1106" s="1"/>
  <c r="H1105" l="1"/>
  <c r="H1104" s="1"/>
  <c r="I1105"/>
  <c r="S1105" l="1"/>
  <c r="I1104"/>
  <c r="S1104" s="1"/>
  <c r="R1105"/>
  <c r="R1104"/>
  <c r="I1095"/>
  <c r="S1095" s="1"/>
  <c r="H1095"/>
  <c r="R1095" s="1"/>
  <c r="I1093"/>
  <c r="S1093" s="1"/>
  <c r="H1093"/>
  <c r="R1093" s="1"/>
  <c r="H1103" l="1"/>
  <c r="R1103" s="1"/>
  <c r="I1103"/>
  <c r="S1103" s="1"/>
  <c r="H1092"/>
  <c r="R1092" s="1"/>
  <c r="I1092"/>
  <c r="S1092" s="1"/>
  <c r="S1086"/>
  <c r="S1084"/>
  <c r="I1082"/>
  <c r="S1082" s="1"/>
  <c r="H1082"/>
  <c r="R1082" s="1"/>
  <c r="H1102" l="1"/>
  <c r="I1091"/>
  <c r="S1091" s="1"/>
  <c r="H1091"/>
  <c r="R1091" s="1"/>
  <c r="I1102"/>
  <c r="S1102" l="1"/>
  <c r="S1101"/>
  <c r="R1102"/>
  <c r="R1101"/>
  <c r="H1090"/>
  <c r="R1090" s="1"/>
  <c r="K15" i="26"/>
  <c r="L15" s="1"/>
  <c r="M15" i="25"/>
  <c r="N15" s="1"/>
  <c r="I1090" i="11"/>
  <c r="S1090" s="1"/>
  <c r="I1074"/>
  <c r="H1074"/>
  <c r="S1074" l="1"/>
  <c r="F234" i="17"/>
  <c r="R1074" i="11"/>
  <c r="E234" i="17"/>
  <c r="H1089" i="11"/>
  <c r="R1089" s="1"/>
  <c r="I1080"/>
  <c r="S1080" s="1"/>
  <c r="H1080"/>
  <c r="R1080" s="1"/>
  <c r="I1089"/>
  <c r="S1089" s="1"/>
  <c r="H1073"/>
  <c r="R1073" s="1"/>
  <c r="I1073"/>
  <c r="S1073" s="1"/>
  <c r="I1067"/>
  <c r="S1067" s="1"/>
  <c r="H1067"/>
  <c r="R1067" s="1"/>
  <c r="H1065"/>
  <c r="R1065" s="1"/>
  <c r="I1058"/>
  <c r="S1058" s="1"/>
  <c r="H1058"/>
  <c r="R1058" s="1"/>
  <c r="I1054"/>
  <c r="S1054" s="1"/>
  <c r="I1052"/>
  <c r="S1052" s="1"/>
  <c r="H1052"/>
  <c r="R1052" s="1"/>
  <c r="S1046"/>
  <c r="R1046"/>
  <c r="S1043"/>
  <c r="R1043"/>
  <c r="I1041"/>
  <c r="S1041" s="1"/>
  <c r="H1041"/>
  <c r="R1041" s="1"/>
  <c r="F233" i="17" l="1"/>
  <c r="U233" s="1"/>
  <c r="U234"/>
  <c r="E233"/>
  <c r="T233" s="1"/>
  <c r="T234"/>
  <c r="H1088" i="11"/>
  <c r="R1088" s="1"/>
  <c r="H1079"/>
  <c r="R1079" s="1"/>
  <c r="I1079"/>
  <c r="S1079" s="1"/>
  <c r="I1057"/>
  <c r="S1057" s="1"/>
  <c r="H1072"/>
  <c r="R1072" s="1"/>
  <c r="H1057"/>
  <c r="R1057" s="1"/>
  <c r="I1088"/>
  <c r="S1088" s="1"/>
  <c r="I1072"/>
  <c r="S1072" s="1"/>
  <c r="I1064"/>
  <c r="S1064" s="1"/>
  <c r="H1051"/>
  <c r="R1051" s="1"/>
  <c r="H1064"/>
  <c r="R1064" s="1"/>
  <c r="I1051"/>
  <c r="S1051" s="1"/>
  <c r="F232" i="17" l="1"/>
  <c r="U232" s="1"/>
  <c r="E232"/>
  <c r="E231" s="1"/>
  <c r="T231" s="1"/>
  <c r="H1063" i="11"/>
  <c r="R1063" s="1"/>
  <c r="H1078"/>
  <c r="R1078" s="1"/>
  <c r="I1078"/>
  <c r="S1078" s="1"/>
  <c r="H1056"/>
  <c r="R1056" s="1"/>
  <c r="I1056"/>
  <c r="S1056" s="1"/>
  <c r="I1050"/>
  <c r="S1050" s="1"/>
  <c r="H1050"/>
  <c r="R1050" s="1"/>
  <c r="I1071"/>
  <c r="S1071" s="1"/>
  <c r="H1071"/>
  <c r="R1071" s="1"/>
  <c r="I1063"/>
  <c r="S1063" s="1"/>
  <c r="I1038"/>
  <c r="H1038"/>
  <c r="F231" i="17" l="1"/>
  <c r="U231" s="1"/>
  <c r="T232"/>
  <c r="S1038" i="11"/>
  <c r="F801" i="17"/>
  <c r="R1038" i="11"/>
  <c r="E801" i="17"/>
  <c r="I1077" i="11"/>
  <c r="S1077" s="1"/>
  <c r="H1077"/>
  <c r="R1077" s="1"/>
  <c r="I1049"/>
  <c r="S1049" s="1"/>
  <c r="H1070"/>
  <c r="R1070" s="1"/>
  <c r="I1070"/>
  <c r="S1070" s="1"/>
  <c r="H1062"/>
  <c r="R1062" s="1"/>
  <c r="I1062"/>
  <c r="S1062" s="1"/>
  <c r="H1049"/>
  <c r="R1049" s="1"/>
  <c r="I1037"/>
  <c r="S1037" s="1"/>
  <c r="H1037"/>
  <c r="F800" i="17" l="1"/>
  <c r="U800" s="1"/>
  <c r="U801"/>
  <c r="E800"/>
  <c r="T800" s="1"/>
  <c r="T801"/>
  <c r="H1036" i="11"/>
  <c r="R1036" s="1"/>
  <c r="R1037"/>
  <c r="I1036"/>
  <c r="S1036" s="1"/>
  <c r="I1076"/>
  <c r="S1076" s="1"/>
  <c r="H1076"/>
  <c r="R1076" s="1"/>
  <c r="H1061"/>
  <c r="R1061" s="1"/>
  <c r="I1048"/>
  <c r="S1048" s="1"/>
  <c r="H1048"/>
  <c r="R1048" s="1"/>
  <c r="I1061"/>
  <c r="S1061" s="1"/>
  <c r="E799" i="17" l="1"/>
  <c r="E798" s="1"/>
  <c r="T798" s="1"/>
  <c r="F799"/>
  <c r="U799" s="1"/>
  <c r="H1069" i="11"/>
  <c r="R1069" s="1"/>
  <c r="I1060"/>
  <c r="S1060" s="1"/>
  <c r="H1060"/>
  <c r="R1060" s="1"/>
  <c r="I1069"/>
  <c r="S1069" s="1"/>
  <c r="H1035"/>
  <c r="R1035" s="1"/>
  <c r="I1035"/>
  <c r="S1035" s="1"/>
  <c r="T799" i="17" l="1"/>
  <c r="F798"/>
  <c r="U798" s="1"/>
  <c r="C38" i="23"/>
  <c r="H1034" i="11"/>
  <c r="R1034" s="1"/>
  <c r="I1034"/>
  <c r="S1034" s="1"/>
  <c r="D38" i="23" l="1"/>
  <c r="I38"/>
  <c r="I21" i="30" s="1"/>
  <c r="J21" s="1"/>
  <c r="G21" s="1"/>
  <c r="F21" s="1"/>
  <c r="F38" i="23"/>
  <c r="G38" s="1"/>
  <c r="I21" i="28"/>
  <c r="J21" s="1"/>
  <c r="G21" s="1"/>
  <c r="F21" s="1"/>
  <c r="H1033" i="11"/>
  <c r="R1033" s="1"/>
  <c r="I1033"/>
  <c r="S1033" s="1"/>
  <c r="I21" i="24"/>
  <c r="J38" i="23" l="1"/>
  <c r="H1032" i="11"/>
  <c r="I1032"/>
  <c r="M21" i="24"/>
  <c r="J21"/>
  <c r="G21" s="1"/>
  <c r="F21" s="1"/>
  <c r="S1032" i="11" l="1"/>
  <c r="R1031"/>
  <c r="R1032"/>
  <c r="S1031"/>
  <c r="K14" i="26"/>
  <c r="L14" s="1"/>
  <c r="M14" i="25"/>
  <c r="N14" s="1"/>
  <c r="I1029" i="11"/>
  <c r="S1029" s="1"/>
  <c r="H1029"/>
  <c r="R1029" s="1"/>
  <c r="I1027"/>
  <c r="S1027" s="1"/>
  <c r="H1027"/>
  <c r="R1027" s="1"/>
  <c r="I1020"/>
  <c r="S1020" s="1"/>
  <c r="H1020"/>
  <c r="R1020" s="1"/>
  <c r="I1018"/>
  <c r="S1018" s="1"/>
  <c r="H1018"/>
  <c r="R1018" s="1"/>
  <c r="I1010"/>
  <c r="S1010" s="1"/>
  <c r="H1010"/>
  <c r="R1010" s="1"/>
  <c r="I1008"/>
  <c r="S1008" s="1"/>
  <c r="H1008"/>
  <c r="R1008" s="1"/>
  <c r="I1003"/>
  <c r="S1003" s="1"/>
  <c r="H1003"/>
  <c r="R1003" s="1"/>
  <c r="I1001"/>
  <c r="S1001" s="1"/>
  <c r="H1001"/>
  <c r="R1001" s="1"/>
  <c r="H1016" l="1"/>
  <c r="R1016" s="1"/>
  <c r="I1016"/>
  <c r="S1016" s="1"/>
  <c r="I1007"/>
  <c r="S1007" s="1"/>
  <c r="I1026"/>
  <c r="S1026" s="1"/>
  <c r="H1007"/>
  <c r="R1007" s="1"/>
  <c r="I1009"/>
  <c r="S1009" s="1"/>
  <c r="H1009"/>
  <c r="R1009" s="1"/>
  <c r="H1026"/>
  <c r="R1026" s="1"/>
  <c r="I1000"/>
  <c r="S1000" s="1"/>
  <c r="H1000"/>
  <c r="R1000" s="1"/>
  <c r="I994"/>
  <c r="S994" s="1"/>
  <c r="H994"/>
  <c r="R994" s="1"/>
  <c r="I993" l="1"/>
  <c r="S993" s="1"/>
  <c r="H993"/>
  <c r="R993" s="1"/>
  <c r="I1015"/>
  <c r="S1015" s="1"/>
  <c r="K12" i="21"/>
  <c r="H1015" i="11"/>
  <c r="R1015" s="1"/>
  <c r="H999"/>
  <c r="R999" s="1"/>
  <c r="H1025"/>
  <c r="R1025" s="1"/>
  <c r="I1006"/>
  <c r="S1006" s="1"/>
  <c r="I999"/>
  <c r="S999" s="1"/>
  <c r="I1025"/>
  <c r="S1025" s="1"/>
  <c r="H1006"/>
  <c r="R1006" s="1"/>
  <c r="I990"/>
  <c r="S990" s="1"/>
  <c r="H990"/>
  <c r="R990" s="1"/>
  <c r="I1014" l="1"/>
  <c r="S1014" s="1"/>
  <c r="H1014"/>
  <c r="R1014" s="1"/>
  <c r="I998"/>
  <c r="S998" s="1"/>
  <c r="H998"/>
  <c r="R998" s="1"/>
  <c r="I992"/>
  <c r="S992" s="1"/>
  <c r="H1024"/>
  <c r="R1024" s="1"/>
  <c r="I1024"/>
  <c r="S1024" s="1"/>
  <c r="H992"/>
  <c r="R992" s="1"/>
  <c r="I989"/>
  <c r="S989" s="1"/>
  <c r="H989"/>
  <c r="R989" s="1"/>
  <c r="I1013" l="1"/>
  <c r="S1013" s="1"/>
  <c r="H1013"/>
  <c r="R1013" s="1"/>
  <c r="I997"/>
  <c r="S997" s="1"/>
  <c r="H1023"/>
  <c r="R1023" s="1"/>
  <c r="H997"/>
  <c r="R997" s="1"/>
  <c r="I1023"/>
  <c r="S1023" s="1"/>
  <c r="I988"/>
  <c r="S988" s="1"/>
  <c r="H988"/>
  <c r="R988" s="1"/>
  <c r="E985"/>
  <c r="AD985" s="1"/>
  <c r="D985"/>
  <c r="AC985" s="1"/>
  <c r="C985"/>
  <c r="AB985" s="1"/>
  <c r="S984"/>
  <c r="H984"/>
  <c r="R984" s="1"/>
  <c r="E984"/>
  <c r="AD984" s="1"/>
  <c r="D984"/>
  <c r="AC984" s="1"/>
  <c r="C984"/>
  <c r="AB984" s="1"/>
  <c r="S981"/>
  <c r="R981"/>
  <c r="I979"/>
  <c r="S979" s="1"/>
  <c r="H979"/>
  <c r="R979" s="1"/>
  <c r="I975"/>
  <c r="S975" s="1"/>
  <c r="H975"/>
  <c r="R975" s="1"/>
  <c r="I967"/>
  <c r="S967" s="1"/>
  <c r="H967"/>
  <c r="R967" s="1"/>
  <c r="I1022" l="1"/>
  <c r="S1022" s="1"/>
  <c r="H974"/>
  <c r="R974" s="1"/>
  <c r="I974"/>
  <c r="S974" s="1"/>
  <c r="I1012"/>
  <c r="S1012" s="1"/>
  <c r="H1012"/>
  <c r="R1012" s="1"/>
  <c r="H996"/>
  <c r="R996" s="1"/>
  <c r="I987"/>
  <c r="S987" s="1"/>
  <c r="H987"/>
  <c r="R987" s="1"/>
  <c r="H1022"/>
  <c r="R1022" s="1"/>
  <c r="I996"/>
  <c r="S996" s="1"/>
  <c r="I965"/>
  <c r="S965" s="1"/>
  <c r="H965"/>
  <c r="R965" s="1"/>
  <c r="K16" i="33"/>
  <c r="K3" s="1"/>
  <c r="J16"/>
  <c r="J3" s="1"/>
  <c r="I950" i="11"/>
  <c r="S950" s="1"/>
  <c r="H950"/>
  <c r="R950" s="1"/>
  <c r="I948"/>
  <c r="S948" s="1"/>
  <c r="H948"/>
  <c r="R948" s="1"/>
  <c r="I940"/>
  <c r="S940" s="1"/>
  <c r="H940"/>
  <c r="R940" s="1"/>
  <c r="I933"/>
  <c r="S933" s="1"/>
  <c r="H933"/>
  <c r="R933" s="1"/>
  <c r="I1005" l="1"/>
  <c r="S1005" s="1"/>
  <c r="H1005"/>
  <c r="R1005" s="1"/>
  <c r="I964"/>
  <c r="S964" s="1"/>
  <c r="I973"/>
  <c r="S973" s="1"/>
  <c r="H973"/>
  <c r="R973" s="1"/>
  <c r="H986"/>
  <c r="R986" s="1"/>
  <c r="I939"/>
  <c r="S939" s="1"/>
  <c r="H939"/>
  <c r="R939" s="1"/>
  <c r="H964"/>
  <c r="R964" s="1"/>
  <c r="I986"/>
  <c r="S986" s="1"/>
  <c r="I946"/>
  <c r="S946" s="1"/>
  <c r="H946"/>
  <c r="H945" s="1"/>
  <c r="I931"/>
  <c r="H931"/>
  <c r="I924"/>
  <c r="S924" s="1"/>
  <c r="H924"/>
  <c r="R924" s="1"/>
  <c r="I920"/>
  <c r="S920" s="1"/>
  <c r="H920"/>
  <c r="R920" s="1"/>
  <c r="I918"/>
  <c r="S918" s="1"/>
  <c r="H918"/>
  <c r="R918" s="1"/>
  <c r="I912"/>
  <c r="S912" s="1"/>
  <c r="H912"/>
  <c r="R912" s="1"/>
  <c r="I909"/>
  <c r="S909" s="1"/>
  <c r="H909"/>
  <c r="R909" s="1"/>
  <c r="I907"/>
  <c r="S907" s="1"/>
  <c r="H907"/>
  <c r="R907" s="1"/>
  <c r="I894"/>
  <c r="H894"/>
  <c r="I892"/>
  <c r="S892" s="1"/>
  <c r="H892"/>
  <c r="R892" s="1"/>
  <c r="I888"/>
  <c r="S888" s="1"/>
  <c r="H888"/>
  <c r="R888" s="1"/>
  <c r="I881"/>
  <c r="S881" s="1"/>
  <c r="H881"/>
  <c r="R881" s="1"/>
  <c r="I872"/>
  <c r="H872"/>
  <c r="S931" l="1"/>
  <c r="F243" i="17"/>
  <c r="R931" i="11"/>
  <c r="E243" i="17"/>
  <c r="S872" i="11"/>
  <c r="F591" i="17"/>
  <c r="R872" i="11"/>
  <c r="E591" i="17"/>
  <c r="R946" i="11"/>
  <c r="S894"/>
  <c r="I887"/>
  <c r="S887" s="1"/>
  <c r="R894"/>
  <c r="H887"/>
  <c r="R887" s="1"/>
  <c r="I923"/>
  <c r="S923" s="1"/>
  <c r="H923"/>
  <c r="R923" s="1"/>
  <c r="I880"/>
  <c r="S880" s="1"/>
  <c r="H880"/>
  <c r="R880" s="1"/>
  <c r="I945"/>
  <c r="S945" s="1"/>
  <c r="K12" i="29"/>
  <c r="H12" s="1"/>
  <c r="I938" i="11"/>
  <c r="S938" s="1"/>
  <c r="H972"/>
  <c r="R972" s="1"/>
  <c r="I963"/>
  <c r="S963" s="1"/>
  <c r="H963"/>
  <c r="R963" s="1"/>
  <c r="H938"/>
  <c r="R938" s="1"/>
  <c r="I972"/>
  <c r="S972" s="1"/>
  <c r="R945"/>
  <c r="K12" i="27"/>
  <c r="H12" s="1"/>
  <c r="I903" i="11"/>
  <c r="S903" s="1"/>
  <c r="H871"/>
  <c r="R871" s="1"/>
  <c r="I871"/>
  <c r="S871" s="1"/>
  <c r="H903"/>
  <c r="R903" s="1"/>
  <c r="H917"/>
  <c r="R917" s="1"/>
  <c r="I917"/>
  <c r="S917" s="1"/>
  <c r="H930"/>
  <c r="R930" s="1"/>
  <c r="I930"/>
  <c r="S930" s="1"/>
  <c r="I861"/>
  <c r="S861" s="1"/>
  <c r="H861"/>
  <c r="R861" s="1"/>
  <c r="I858"/>
  <c r="S858" s="1"/>
  <c r="H858"/>
  <c r="R858" s="1"/>
  <c r="I856"/>
  <c r="H856"/>
  <c r="I850"/>
  <c r="S850" s="1"/>
  <c r="H850"/>
  <c r="I847"/>
  <c r="S847" s="1"/>
  <c r="H847"/>
  <c r="R847" s="1"/>
  <c r="I841"/>
  <c r="S841" s="1"/>
  <c r="H841"/>
  <c r="R841" s="1"/>
  <c r="I834"/>
  <c r="S834" s="1"/>
  <c r="H834"/>
  <c r="R834" s="1"/>
  <c r="F590" i="17" l="1"/>
  <c r="U590" s="1"/>
  <c r="U591"/>
  <c r="F242"/>
  <c r="U242" s="1"/>
  <c r="U243"/>
  <c r="E590"/>
  <c r="T590" s="1"/>
  <c r="T591"/>
  <c r="E242"/>
  <c r="T243"/>
  <c r="S856" i="11"/>
  <c r="F402" i="17"/>
  <c r="R856" i="11"/>
  <c r="E402" i="17"/>
  <c r="H849" i="11"/>
  <c r="R849" s="1"/>
  <c r="R850"/>
  <c r="I849"/>
  <c r="S849" s="1"/>
  <c r="H840"/>
  <c r="R840" s="1"/>
  <c r="I840"/>
  <c r="S840" s="1"/>
  <c r="I902"/>
  <c r="S902" s="1"/>
  <c r="H902"/>
  <c r="R902" s="1"/>
  <c r="I944"/>
  <c r="S944" s="1"/>
  <c r="I866"/>
  <c r="S866" s="1"/>
  <c r="H866"/>
  <c r="R866" s="1"/>
  <c r="I833"/>
  <c r="S833" s="1"/>
  <c r="I846"/>
  <c r="S846" s="1"/>
  <c r="H833"/>
  <c r="R833" s="1"/>
  <c r="H846"/>
  <c r="R846" s="1"/>
  <c r="I857"/>
  <c r="S857" s="1"/>
  <c r="H929"/>
  <c r="R929" s="1"/>
  <c r="I916"/>
  <c r="S916" s="1"/>
  <c r="H916"/>
  <c r="R916" s="1"/>
  <c r="H944"/>
  <c r="R944" s="1"/>
  <c r="I971"/>
  <c r="S971" s="1"/>
  <c r="H962"/>
  <c r="R962" s="1"/>
  <c r="H971"/>
  <c r="R971" s="1"/>
  <c r="I922"/>
  <c r="S922" s="1"/>
  <c r="I860"/>
  <c r="S860" s="1"/>
  <c r="H857"/>
  <c r="R857" s="1"/>
  <c r="H860"/>
  <c r="R860" s="1"/>
  <c r="H886"/>
  <c r="R886" s="1"/>
  <c r="I870"/>
  <c r="S870" s="1"/>
  <c r="H870"/>
  <c r="R870" s="1"/>
  <c r="H879"/>
  <c r="H937"/>
  <c r="R937" s="1"/>
  <c r="I879"/>
  <c r="H922"/>
  <c r="R922" s="1"/>
  <c r="I962"/>
  <c r="S962" s="1"/>
  <c r="I937"/>
  <c r="S937" s="1"/>
  <c r="I929"/>
  <c r="S929" s="1"/>
  <c r="I886"/>
  <c r="S886" s="1"/>
  <c r="I854"/>
  <c r="S854" s="1"/>
  <c r="H854"/>
  <c r="R854" s="1"/>
  <c r="R879" l="1"/>
  <c r="H874"/>
  <c r="S879"/>
  <c r="I874"/>
  <c r="T242" i="17"/>
  <c r="F589"/>
  <c r="U589" s="1"/>
  <c r="F400"/>
  <c r="F399" s="1"/>
  <c r="U402"/>
  <c r="E400"/>
  <c r="E399" s="1"/>
  <c r="T402"/>
  <c r="E589"/>
  <c r="T589" s="1"/>
  <c r="I943" i="11"/>
  <c r="S943" s="1"/>
  <c r="H845"/>
  <c r="R845" s="1"/>
  <c r="I865"/>
  <c r="S865" s="1"/>
  <c r="H865"/>
  <c r="R865" s="1"/>
  <c r="I845"/>
  <c r="S845" s="1"/>
  <c r="H853"/>
  <c r="R853" s="1"/>
  <c r="I901"/>
  <c r="S901" s="1"/>
  <c r="I885"/>
  <c r="S885" s="1"/>
  <c r="I928"/>
  <c r="S928" s="1"/>
  <c r="I961"/>
  <c r="S961" s="1"/>
  <c r="S874"/>
  <c r="H936"/>
  <c r="C19" i="18" s="1"/>
  <c r="H869" i="11"/>
  <c r="R869" s="1"/>
  <c r="H970"/>
  <c r="I970"/>
  <c r="I915"/>
  <c r="S915" s="1"/>
  <c r="H832"/>
  <c r="R832" s="1"/>
  <c r="I832"/>
  <c r="S832" s="1"/>
  <c r="I853"/>
  <c r="S853" s="1"/>
  <c r="H901"/>
  <c r="R901" s="1"/>
  <c r="H885"/>
  <c r="R885" s="1"/>
  <c r="I936"/>
  <c r="R874"/>
  <c r="H961"/>
  <c r="R961" s="1"/>
  <c r="H943"/>
  <c r="H915"/>
  <c r="R915" s="1"/>
  <c r="H928"/>
  <c r="R928" s="1"/>
  <c r="I839"/>
  <c r="S839" s="1"/>
  <c r="I869"/>
  <c r="S869" s="1"/>
  <c r="H839"/>
  <c r="R839" s="1"/>
  <c r="I829"/>
  <c r="H829"/>
  <c r="F585" i="17" l="1"/>
  <c r="F575" s="1"/>
  <c r="U575" s="1"/>
  <c r="T400"/>
  <c r="U400"/>
  <c r="E585"/>
  <c r="E575" s="1"/>
  <c r="T575" s="1"/>
  <c r="E398"/>
  <c r="T399"/>
  <c r="F398"/>
  <c r="U399"/>
  <c r="S936" i="11"/>
  <c r="D19" i="18"/>
  <c r="R936" i="11"/>
  <c r="S970"/>
  <c r="R943"/>
  <c r="H942"/>
  <c r="R942" s="1"/>
  <c r="S829"/>
  <c r="I828"/>
  <c r="S828" s="1"/>
  <c r="R829"/>
  <c r="H828"/>
  <c r="R828" s="1"/>
  <c r="R969"/>
  <c r="R970"/>
  <c r="S969"/>
  <c r="H960"/>
  <c r="R960" s="1"/>
  <c r="K13" i="26"/>
  <c r="L13" s="1"/>
  <c r="I942" i="11"/>
  <c r="S942" s="1"/>
  <c r="M13" i="25"/>
  <c r="N13" s="1"/>
  <c r="H864" i="11"/>
  <c r="R864" s="1"/>
  <c r="I864"/>
  <c r="S864" s="1"/>
  <c r="C36" i="23"/>
  <c r="I868" i="11"/>
  <c r="S868" s="1"/>
  <c r="I873"/>
  <c r="S873" s="1"/>
  <c r="I927"/>
  <c r="S927" s="1"/>
  <c r="I900"/>
  <c r="S900" s="1"/>
  <c r="H852"/>
  <c r="R852" s="1"/>
  <c r="H927"/>
  <c r="R927" s="1"/>
  <c r="H873"/>
  <c r="R873" s="1"/>
  <c r="C41" i="18"/>
  <c r="I852" i="11"/>
  <c r="S852" s="1"/>
  <c r="I831"/>
  <c r="S831" s="1"/>
  <c r="H868"/>
  <c r="R868" s="1"/>
  <c r="I960"/>
  <c r="S960" s="1"/>
  <c r="D41" i="18"/>
  <c r="H838" i="11"/>
  <c r="R838" s="1"/>
  <c r="I838"/>
  <c r="S838" s="1"/>
  <c r="H914"/>
  <c r="R914" s="1"/>
  <c r="H900"/>
  <c r="R900" s="1"/>
  <c r="H831"/>
  <c r="R831" s="1"/>
  <c r="I914"/>
  <c r="S914" s="1"/>
  <c r="I824"/>
  <c r="H824"/>
  <c r="U585" i="17" l="1"/>
  <c r="T585"/>
  <c r="F382"/>
  <c r="U382" s="1"/>
  <c r="U398"/>
  <c r="E382"/>
  <c r="T382" s="1"/>
  <c r="T398"/>
  <c r="D36" i="23"/>
  <c r="S824" i="11"/>
  <c r="I823"/>
  <c r="S823" s="1"/>
  <c r="R824"/>
  <c r="H823"/>
  <c r="R823" s="1"/>
  <c r="D21" i="18"/>
  <c r="I935" i="11"/>
  <c r="S935" s="1"/>
  <c r="C22" i="23"/>
  <c r="I36"/>
  <c r="I19" i="30" s="1"/>
  <c r="J19" s="1"/>
  <c r="G19" s="1"/>
  <c r="F19" s="1"/>
  <c r="H863" i="11"/>
  <c r="I19" i="24"/>
  <c r="J19" s="1"/>
  <c r="G19" s="1"/>
  <c r="F19" s="1"/>
  <c r="I863" i="11"/>
  <c r="I19" i="28"/>
  <c r="J19" s="1"/>
  <c r="G19" s="1"/>
  <c r="F19" s="1"/>
  <c r="F36" i="23"/>
  <c r="G36" s="1"/>
  <c r="H935" i="11"/>
  <c r="R935" s="1"/>
  <c r="I827"/>
  <c r="S827" s="1"/>
  <c r="C40" i="18"/>
  <c r="H926" i="11"/>
  <c r="R926" s="1"/>
  <c r="C16" i="18"/>
  <c r="I926" i="11"/>
  <c r="S926" s="1"/>
  <c r="D16" i="18"/>
  <c r="H899" i="11"/>
  <c r="R899" s="1"/>
  <c r="I837"/>
  <c r="S837" s="1"/>
  <c r="H844"/>
  <c r="R844" s="1"/>
  <c r="C21" i="18"/>
  <c r="I899" i="11"/>
  <c r="S899" s="1"/>
  <c r="D40" i="18"/>
  <c r="H827" i="11"/>
  <c r="R827" s="1"/>
  <c r="H837"/>
  <c r="R837" s="1"/>
  <c r="I844"/>
  <c r="S844" s="1"/>
  <c r="R863" l="1"/>
  <c r="E548" i="17"/>
  <c r="S863" i="11"/>
  <c r="F548" i="17"/>
  <c r="D22" i="23"/>
  <c r="I898" i="11"/>
  <c r="F22" i="23"/>
  <c r="G22" s="1"/>
  <c r="I24" i="21"/>
  <c r="I22" i="23"/>
  <c r="L24" i="29" s="1"/>
  <c r="J36" i="23"/>
  <c r="C14"/>
  <c r="M19" i="24"/>
  <c r="I826" i="11"/>
  <c r="S826" s="1"/>
  <c r="I843"/>
  <c r="S843" s="1"/>
  <c r="H843"/>
  <c r="R843" s="1"/>
  <c r="H898"/>
  <c r="H822"/>
  <c r="R822" s="1"/>
  <c r="I822"/>
  <c r="S822" s="1"/>
  <c r="D38" i="18"/>
  <c r="C38"/>
  <c r="H826" i="11"/>
  <c r="R826" s="1"/>
  <c r="E547" i="17" l="1"/>
  <c r="E546" s="1"/>
  <c r="T548"/>
  <c r="F547"/>
  <c r="U547" s="1"/>
  <c r="U548"/>
  <c r="D14" i="23"/>
  <c r="S897" i="11"/>
  <c r="S898"/>
  <c r="R897"/>
  <c r="R898"/>
  <c r="K12" i="26"/>
  <c r="L12" s="1"/>
  <c r="L24" i="27"/>
  <c r="M12" i="25"/>
  <c r="N12" s="1"/>
  <c r="I14" i="23"/>
  <c r="I16" i="29" s="1"/>
  <c r="L24" i="21"/>
  <c r="M24" s="1"/>
  <c r="I24" i="29"/>
  <c r="M24" s="1"/>
  <c r="I16" i="21"/>
  <c r="J22" i="23"/>
  <c r="F14"/>
  <c r="G14" s="1"/>
  <c r="K17" i="30"/>
  <c r="H17" s="1"/>
  <c r="I37" i="18"/>
  <c r="H836" i="11"/>
  <c r="R836" s="1"/>
  <c r="I836"/>
  <c r="S836" s="1"/>
  <c r="I821"/>
  <c r="S821" s="1"/>
  <c r="D39" i="18"/>
  <c r="D37" s="1"/>
  <c r="H821" i="11"/>
  <c r="R821" s="1"/>
  <c r="C39" i="18"/>
  <c r="C37" s="1"/>
  <c r="J24" i="21"/>
  <c r="G24" s="1"/>
  <c r="F24" s="1"/>
  <c r="T547" i="17" l="1"/>
  <c r="T546"/>
  <c r="F546"/>
  <c r="U546" s="1"/>
  <c r="L16" i="21"/>
  <c r="M16" s="1"/>
  <c r="J14" i="23"/>
  <c r="L16" i="29"/>
  <c r="M16" s="1"/>
  <c r="J24"/>
  <c r="G24" s="1"/>
  <c r="F24" s="1"/>
  <c r="L16" i="27"/>
  <c r="J37" i="18"/>
  <c r="H820" i="11"/>
  <c r="R820" s="1"/>
  <c r="I820"/>
  <c r="S820" s="1"/>
  <c r="J16" i="21"/>
  <c r="G16" s="1"/>
  <c r="F16" s="1"/>
  <c r="J16" i="29"/>
  <c r="G16" s="1"/>
  <c r="F16" s="1"/>
  <c r="D34" i="23" l="1"/>
  <c r="I34"/>
  <c r="J34" s="1"/>
  <c r="I819" i="11"/>
  <c r="S819" s="1"/>
  <c r="H819"/>
  <c r="R819" s="1"/>
  <c r="I17" i="30" l="1"/>
  <c r="J17" s="1"/>
  <c r="G17" s="1"/>
  <c r="F17" s="1"/>
  <c r="I17" i="24"/>
  <c r="M17" s="1"/>
  <c r="C36" i="18"/>
  <c r="D36"/>
  <c r="H818" i="11"/>
  <c r="R818" s="1"/>
  <c r="I818"/>
  <c r="S818" l="1"/>
  <c r="K11" i="26"/>
  <c r="L11" s="1"/>
  <c r="M11" i="25"/>
  <c r="N11" s="1"/>
  <c r="J17" i="24"/>
  <c r="G17" s="1"/>
  <c r="F17" s="1"/>
  <c r="I650" i="11" l="1"/>
  <c r="S650" s="1"/>
  <c r="H650"/>
  <c r="I647"/>
  <c r="S647" s="1"/>
  <c r="H647"/>
  <c r="I643"/>
  <c r="H643"/>
  <c r="N643" s="1"/>
  <c r="I638"/>
  <c r="S638" s="1"/>
  <c r="H638"/>
  <c r="S632"/>
  <c r="R632"/>
  <c r="I626"/>
  <c r="S626" s="1"/>
  <c r="H626"/>
  <c r="I623"/>
  <c r="S623" s="1"/>
  <c r="H623"/>
  <c r="I612"/>
  <c r="H612"/>
  <c r="N612" s="1"/>
  <c r="I609"/>
  <c r="H609"/>
  <c r="N609" s="1"/>
  <c r="I605"/>
  <c r="S605" s="1"/>
  <c r="H605"/>
  <c r="I601"/>
  <c r="H601"/>
  <c r="N601" s="1"/>
  <c r="H13" i="33"/>
  <c r="H3" s="1"/>
  <c r="G13"/>
  <c r="G3" s="1"/>
  <c r="R650" i="11" l="1"/>
  <c r="N650"/>
  <c r="R623"/>
  <c r="N623"/>
  <c r="R605"/>
  <c r="N605"/>
  <c r="R626"/>
  <c r="N626"/>
  <c r="R638"/>
  <c r="N638"/>
  <c r="R647"/>
  <c r="N647"/>
  <c r="S616"/>
  <c r="F377" i="17"/>
  <c r="U377" s="1"/>
  <c r="R616" i="11"/>
  <c r="E377" i="17"/>
  <c r="S612" i="11"/>
  <c r="I611"/>
  <c r="S611" s="1"/>
  <c r="S609"/>
  <c r="I608"/>
  <c r="S608" s="1"/>
  <c r="R612"/>
  <c r="H611"/>
  <c r="R609"/>
  <c r="H608"/>
  <c r="S601"/>
  <c r="I600"/>
  <c r="S600" s="1"/>
  <c r="R601"/>
  <c r="H600"/>
  <c r="S643"/>
  <c r="I642"/>
  <c r="S642" s="1"/>
  <c r="R643"/>
  <c r="H642"/>
  <c r="I604"/>
  <c r="S604" s="1"/>
  <c r="I622"/>
  <c r="S622" s="1"/>
  <c r="I625"/>
  <c r="S625" s="1"/>
  <c r="H631"/>
  <c r="H637"/>
  <c r="H604"/>
  <c r="H622"/>
  <c r="H625"/>
  <c r="I649"/>
  <c r="S649" s="1"/>
  <c r="H649"/>
  <c r="I631"/>
  <c r="S631" s="1"/>
  <c r="I637"/>
  <c r="S637" s="1"/>
  <c r="E355" i="17"/>
  <c r="I615" i="11"/>
  <c r="S615" s="1"/>
  <c r="H615"/>
  <c r="I596"/>
  <c r="H596"/>
  <c r="N596" s="1"/>
  <c r="I592"/>
  <c r="R592"/>
  <c r="R637" l="1"/>
  <c r="N637"/>
  <c r="R611"/>
  <c r="N611"/>
  <c r="R604"/>
  <c r="N604"/>
  <c r="R622"/>
  <c r="N622"/>
  <c r="R649"/>
  <c r="N649"/>
  <c r="R625"/>
  <c r="N625"/>
  <c r="R631"/>
  <c r="N631"/>
  <c r="R642"/>
  <c r="N642"/>
  <c r="R600"/>
  <c r="N600"/>
  <c r="R608"/>
  <c r="N608"/>
  <c r="R615"/>
  <c r="N615"/>
  <c r="E354" i="17"/>
  <c r="T354" s="1"/>
  <c r="T355"/>
  <c r="E376"/>
  <c r="T376" s="1"/>
  <c r="T377"/>
  <c r="S599" i="11"/>
  <c r="F355" i="17"/>
  <c r="R599" i="11"/>
  <c r="S596"/>
  <c r="R596"/>
  <c r="S592"/>
  <c r="I591"/>
  <c r="S591" s="1"/>
  <c r="I614"/>
  <c r="S614" s="1"/>
  <c r="R591"/>
  <c r="K15" i="27"/>
  <c r="H15" s="1"/>
  <c r="I598" i="11"/>
  <c r="S598" s="1"/>
  <c r="H598"/>
  <c r="K15" i="29"/>
  <c r="H15" s="1"/>
  <c r="I621" i="11"/>
  <c r="H621"/>
  <c r="N621" s="1"/>
  <c r="I641"/>
  <c r="S641" s="1"/>
  <c r="I630"/>
  <c r="H636"/>
  <c r="H614"/>
  <c r="I636"/>
  <c r="S636" s="1"/>
  <c r="H630"/>
  <c r="N630" s="1"/>
  <c r="H641"/>
  <c r="R598" l="1"/>
  <c r="N598"/>
  <c r="R641"/>
  <c r="N641"/>
  <c r="R636"/>
  <c r="N636"/>
  <c r="R614"/>
  <c r="N614"/>
  <c r="E373" i="17"/>
  <c r="T373" s="1"/>
  <c r="E351"/>
  <c r="T351" s="1"/>
  <c r="F354"/>
  <c r="F351" s="1"/>
  <c r="U355"/>
  <c r="R630" i="11"/>
  <c r="H629"/>
  <c r="S630"/>
  <c r="I629"/>
  <c r="S629" s="1"/>
  <c r="I595"/>
  <c r="I590" s="1"/>
  <c r="H595"/>
  <c r="R621"/>
  <c r="H620"/>
  <c r="S621"/>
  <c r="I620"/>
  <c r="S620" s="1"/>
  <c r="H635"/>
  <c r="I640"/>
  <c r="H640"/>
  <c r="I635"/>
  <c r="S635" s="1"/>
  <c r="I587"/>
  <c r="S587" s="1"/>
  <c r="R587"/>
  <c r="I568"/>
  <c r="S568" s="1"/>
  <c r="R568"/>
  <c r="I563"/>
  <c r="R563"/>
  <c r="I560"/>
  <c r="S560" s="1"/>
  <c r="H560"/>
  <c r="I558"/>
  <c r="H558"/>
  <c r="N558" s="1"/>
  <c r="I551"/>
  <c r="S551" s="1"/>
  <c r="H551"/>
  <c r="I546"/>
  <c r="S546" s="1"/>
  <c r="H546"/>
  <c r="I539"/>
  <c r="S539" s="1"/>
  <c r="H539"/>
  <c r="I533"/>
  <c r="S533" s="1"/>
  <c r="H533"/>
  <c r="R640" l="1"/>
  <c r="N640"/>
  <c r="R560"/>
  <c r="N560"/>
  <c r="H590"/>
  <c r="N590" s="1"/>
  <c r="N595"/>
  <c r="R629"/>
  <c r="N629"/>
  <c r="R551"/>
  <c r="N551"/>
  <c r="R635"/>
  <c r="N635"/>
  <c r="R539"/>
  <c r="N539"/>
  <c r="R533"/>
  <c r="N533"/>
  <c r="R546"/>
  <c r="N546"/>
  <c r="R620"/>
  <c r="N620"/>
  <c r="E342" i="17"/>
  <c r="E333" s="1"/>
  <c r="T333" s="1"/>
  <c r="U354"/>
  <c r="F342"/>
  <c r="U351"/>
  <c r="S558" i="11"/>
  <c r="F425" i="17"/>
  <c r="R558" i="11"/>
  <c r="E425" i="17"/>
  <c r="S595" i="11"/>
  <c r="S640"/>
  <c r="D32" i="18"/>
  <c r="S563" i="11"/>
  <c r="I562"/>
  <c r="S562" s="1"/>
  <c r="R595"/>
  <c r="S590"/>
  <c r="R562"/>
  <c r="C9" i="23"/>
  <c r="C32" i="18"/>
  <c r="I545" i="11"/>
  <c r="S545" s="1"/>
  <c r="I550"/>
  <c r="S550" s="1"/>
  <c r="I538"/>
  <c r="S538" s="1"/>
  <c r="H545"/>
  <c r="H550"/>
  <c r="I567"/>
  <c r="S567" s="1"/>
  <c r="H532"/>
  <c r="I559"/>
  <c r="S559" s="1"/>
  <c r="I586"/>
  <c r="S586" s="1"/>
  <c r="I532"/>
  <c r="S532" s="1"/>
  <c r="H538"/>
  <c r="H559"/>
  <c r="R567"/>
  <c r="R586"/>
  <c r="I554"/>
  <c r="S554" s="1"/>
  <c r="H554"/>
  <c r="H584" l="1"/>
  <c r="N584" s="1"/>
  <c r="R538"/>
  <c r="N538"/>
  <c r="R559"/>
  <c r="N559"/>
  <c r="R545"/>
  <c r="N545"/>
  <c r="R532"/>
  <c r="N532"/>
  <c r="R554"/>
  <c r="N554"/>
  <c r="R550"/>
  <c r="N550"/>
  <c r="T342" i="17"/>
  <c r="F421"/>
  <c r="U421" s="1"/>
  <c r="U425"/>
  <c r="E421"/>
  <c r="T421" s="1"/>
  <c r="T425"/>
  <c r="F333"/>
  <c r="U333" s="1"/>
  <c r="U342"/>
  <c r="R590" i="11"/>
  <c r="K11" i="29"/>
  <c r="H11" s="1"/>
  <c r="K11" i="21"/>
  <c r="H11" s="1"/>
  <c r="K11" i="27"/>
  <c r="H11" s="1"/>
  <c r="I531" i="11"/>
  <c r="S531" s="1"/>
  <c r="H531"/>
  <c r="H553"/>
  <c r="R566"/>
  <c r="H537"/>
  <c r="I585"/>
  <c r="S585" s="1"/>
  <c r="I537"/>
  <c r="S537" s="1"/>
  <c r="I544"/>
  <c r="S544" s="1"/>
  <c r="I553"/>
  <c r="S553" s="1"/>
  <c r="R585"/>
  <c r="I566"/>
  <c r="S566" s="1"/>
  <c r="H544"/>
  <c r="S529"/>
  <c r="R529"/>
  <c r="H576" l="1"/>
  <c r="N576" s="1"/>
  <c r="R544"/>
  <c r="N544"/>
  <c r="R537"/>
  <c r="N537"/>
  <c r="R531"/>
  <c r="N531"/>
  <c r="R553"/>
  <c r="N553"/>
  <c r="E420" i="17"/>
  <c r="T420" s="1"/>
  <c r="F420"/>
  <c r="U420" s="1"/>
  <c r="D9" i="23"/>
  <c r="I9"/>
  <c r="J9" s="1"/>
  <c r="I11" i="21"/>
  <c r="J11" s="1"/>
  <c r="G11" s="1"/>
  <c r="F11" s="1"/>
  <c r="M10" s="1"/>
  <c r="I530" i="11"/>
  <c r="S530" s="1"/>
  <c r="H530"/>
  <c r="F9" i="23"/>
  <c r="G9" s="1"/>
  <c r="H543" i="11"/>
  <c r="R584"/>
  <c r="I536"/>
  <c r="S536" s="1"/>
  <c r="H536"/>
  <c r="H549"/>
  <c r="I565"/>
  <c r="S565" s="1"/>
  <c r="I549"/>
  <c r="S549" s="1"/>
  <c r="I543"/>
  <c r="S543" s="1"/>
  <c r="I584"/>
  <c r="I576" s="1"/>
  <c r="I575" s="1"/>
  <c r="R565"/>
  <c r="I528"/>
  <c r="H528"/>
  <c r="N528" s="1"/>
  <c r="H575" l="1"/>
  <c r="N575" s="1"/>
  <c r="R536"/>
  <c r="N536"/>
  <c r="R549"/>
  <c r="N549"/>
  <c r="R543"/>
  <c r="N543"/>
  <c r="R530"/>
  <c r="N530"/>
  <c r="E416" i="17"/>
  <c r="T416" s="1"/>
  <c r="F416"/>
  <c r="F415" s="1"/>
  <c r="U415" s="1"/>
  <c r="S528" i="11"/>
  <c r="I527"/>
  <c r="R528"/>
  <c r="H527"/>
  <c r="S584"/>
  <c r="S576"/>
  <c r="I11" i="29"/>
  <c r="J11" s="1"/>
  <c r="G11" s="1"/>
  <c r="F11" s="1"/>
  <c r="L11"/>
  <c r="L11" i="21"/>
  <c r="L11" i="27"/>
  <c r="I548" i="11"/>
  <c r="S548" s="1"/>
  <c r="H548"/>
  <c r="R652"/>
  <c r="R576"/>
  <c r="I525"/>
  <c r="S525" s="1"/>
  <c r="H525"/>
  <c r="I522"/>
  <c r="S522" s="1"/>
  <c r="H522"/>
  <c r="R525" l="1"/>
  <c r="N525"/>
  <c r="R548"/>
  <c r="N548"/>
  <c r="R527"/>
  <c r="N527"/>
  <c r="R522"/>
  <c r="N522"/>
  <c r="E415" i="17"/>
  <c r="T415" s="1"/>
  <c r="U416"/>
  <c r="K10" i="26"/>
  <c r="L10" s="1"/>
  <c r="H542" i="11"/>
  <c r="N542" s="1"/>
  <c r="I542"/>
  <c r="S527"/>
  <c r="M11" i="29"/>
  <c r="M10" i="25"/>
  <c r="N10" s="1"/>
  <c r="K15" i="21"/>
  <c r="H15" s="1"/>
  <c r="R575" i="11"/>
  <c r="H521"/>
  <c r="H524"/>
  <c r="S575"/>
  <c r="I521"/>
  <c r="S521" s="1"/>
  <c r="I524"/>
  <c r="S524" s="1"/>
  <c r="I518"/>
  <c r="H518"/>
  <c r="N518" s="1"/>
  <c r="R521" l="1"/>
  <c r="N521"/>
  <c r="R524"/>
  <c r="N524"/>
  <c r="C15" i="23"/>
  <c r="L17" i="21" s="1"/>
  <c r="D15" i="23"/>
  <c r="S542" i="11"/>
  <c r="D28" i="18"/>
  <c r="R542" i="11"/>
  <c r="C28" i="18"/>
  <c r="S518" i="11"/>
  <c r="I517"/>
  <c r="S517" s="1"/>
  <c r="R518"/>
  <c r="H517"/>
  <c r="N517" s="1"/>
  <c r="I15" i="23"/>
  <c r="J15" s="1"/>
  <c r="F15"/>
  <c r="G15" s="1"/>
  <c r="R517" i="11" l="1"/>
  <c r="H516"/>
  <c r="L17" i="29"/>
  <c r="I17"/>
  <c r="L17" i="27"/>
  <c r="I17" i="21"/>
  <c r="M17" s="1"/>
  <c r="I516" i="11"/>
  <c r="S513"/>
  <c r="H513"/>
  <c r="R513" l="1"/>
  <c r="N513"/>
  <c r="R516"/>
  <c r="N516"/>
  <c r="S516"/>
  <c r="I510"/>
  <c r="I509" s="1"/>
  <c r="I508" s="1"/>
  <c r="M17" i="29"/>
  <c r="J17"/>
  <c r="G17" s="1"/>
  <c r="F17" s="1"/>
  <c r="J17" i="21"/>
  <c r="G17" s="1"/>
  <c r="F17" s="1"/>
  <c r="S512" i="11"/>
  <c r="H512"/>
  <c r="R512" l="1"/>
  <c r="N512"/>
  <c r="S511"/>
  <c r="H511"/>
  <c r="R511" l="1"/>
  <c r="N511"/>
  <c r="D13" i="23"/>
  <c r="I13"/>
  <c r="S510" i="11"/>
  <c r="H510"/>
  <c r="R510" l="1"/>
  <c r="N510"/>
  <c r="J13" i="23"/>
  <c r="I15" i="29"/>
  <c r="L15"/>
  <c r="S509" i="11"/>
  <c r="H509"/>
  <c r="I504"/>
  <c r="S504" s="1"/>
  <c r="H504"/>
  <c r="R504" s="1"/>
  <c r="I502"/>
  <c r="S502" s="1"/>
  <c r="H502"/>
  <c r="R502" s="1"/>
  <c r="I500"/>
  <c r="S500" s="1"/>
  <c r="H500"/>
  <c r="R500" s="1"/>
  <c r="S499"/>
  <c r="R499"/>
  <c r="S495"/>
  <c r="H495"/>
  <c r="R495" s="1"/>
  <c r="S493"/>
  <c r="H493"/>
  <c r="R493" s="1"/>
  <c r="S491"/>
  <c r="R491"/>
  <c r="I481"/>
  <c r="S481" s="1"/>
  <c r="H481"/>
  <c r="R481" s="1"/>
  <c r="I478"/>
  <c r="S478" s="1"/>
  <c r="H478"/>
  <c r="R478" s="1"/>
  <c r="I476"/>
  <c r="S476" s="1"/>
  <c r="H476"/>
  <c r="R476" s="1"/>
  <c r="I472"/>
  <c r="H472"/>
  <c r="I466"/>
  <c r="S466" s="1"/>
  <c r="R466"/>
  <c r="I462"/>
  <c r="S462" s="1"/>
  <c r="R462"/>
  <c r="I448"/>
  <c r="S448" s="1"/>
  <c r="H448"/>
  <c r="R448" s="1"/>
  <c r="I442"/>
  <c r="S442" s="1"/>
  <c r="H442"/>
  <c r="R442" s="1"/>
  <c r="I438"/>
  <c r="S438" s="1"/>
  <c r="H438"/>
  <c r="R438" s="1"/>
  <c r="I433"/>
  <c r="S433" s="1"/>
  <c r="H433"/>
  <c r="R433" s="1"/>
  <c r="R509" l="1"/>
  <c r="N509"/>
  <c r="S472"/>
  <c r="I471"/>
  <c r="S471" s="1"/>
  <c r="R472"/>
  <c r="H471"/>
  <c r="R471" s="1"/>
  <c r="J15" i="29"/>
  <c r="G15" s="1"/>
  <c r="F15" s="1"/>
  <c r="M15"/>
  <c r="I447" i="11"/>
  <c r="S447" s="1"/>
  <c r="I465"/>
  <c r="I437"/>
  <c r="S437" s="1"/>
  <c r="I441"/>
  <c r="S441" s="1"/>
  <c r="H447"/>
  <c r="R447" s="1"/>
  <c r="I461"/>
  <c r="S461" s="1"/>
  <c r="R465"/>
  <c r="S508"/>
  <c r="H432"/>
  <c r="R432" s="1"/>
  <c r="I432"/>
  <c r="S432" s="1"/>
  <c r="H437"/>
  <c r="R437" s="1"/>
  <c r="H441"/>
  <c r="R441" s="1"/>
  <c r="R461"/>
  <c r="H508"/>
  <c r="I489"/>
  <c r="S489" s="1"/>
  <c r="I498"/>
  <c r="S498" s="1"/>
  <c r="H489"/>
  <c r="R489" s="1"/>
  <c r="H498"/>
  <c r="R498" s="1"/>
  <c r="I492"/>
  <c r="S492" s="1"/>
  <c r="H492"/>
  <c r="R492" s="1"/>
  <c r="I424"/>
  <c r="I423" s="1"/>
  <c r="H424"/>
  <c r="H423" s="1"/>
  <c r="I418"/>
  <c r="S418" s="1"/>
  <c r="H418"/>
  <c r="R418" s="1"/>
  <c r="R508" l="1"/>
  <c r="N508"/>
  <c r="S465"/>
  <c r="I453"/>
  <c r="S453" s="1"/>
  <c r="S424"/>
  <c r="S423"/>
  <c r="R424"/>
  <c r="R423"/>
  <c r="I431"/>
  <c r="S431" s="1"/>
  <c r="R453"/>
  <c r="H497"/>
  <c r="R497" s="1"/>
  <c r="H431"/>
  <c r="R431" s="1"/>
  <c r="H488"/>
  <c r="R488" s="1"/>
  <c r="H436"/>
  <c r="R436" s="1"/>
  <c r="I440"/>
  <c r="S440" s="1"/>
  <c r="I446"/>
  <c r="S446" s="1"/>
  <c r="I507"/>
  <c r="H470"/>
  <c r="I488"/>
  <c r="S488" s="1"/>
  <c r="I417"/>
  <c r="S417" s="1"/>
  <c r="I470"/>
  <c r="S470" s="1"/>
  <c r="H440"/>
  <c r="R440" s="1"/>
  <c r="H446"/>
  <c r="R446" s="1"/>
  <c r="I436"/>
  <c r="S436" s="1"/>
  <c r="I497"/>
  <c r="S497" s="1"/>
  <c r="H417"/>
  <c r="R417" s="1"/>
  <c r="H507"/>
  <c r="R507" l="1"/>
  <c r="N507"/>
  <c r="R470"/>
  <c r="H451"/>
  <c r="S507"/>
  <c r="K9" i="26"/>
  <c r="L9" s="1"/>
  <c r="M9" i="25"/>
  <c r="N9" s="1"/>
  <c r="H487" i="11"/>
  <c r="R487" s="1"/>
  <c r="I452"/>
  <c r="R452"/>
  <c r="H430"/>
  <c r="R430" s="1"/>
  <c r="I422"/>
  <c r="S422" s="1"/>
  <c r="H422"/>
  <c r="R422" s="1"/>
  <c r="I487"/>
  <c r="S487" s="1"/>
  <c r="H416"/>
  <c r="R416" s="1"/>
  <c r="I416"/>
  <c r="S416" s="1"/>
  <c r="I445"/>
  <c r="S445" s="1"/>
  <c r="H445"/>
  <c r="R445" s="1"/>
  <c r="I430"/>
  <c r="S430" s="1"/>
  <c r="S452" l="1"/>
  <c r="I451"/>
  <c r="S451" s="1"/>
  <c r="R451"/>
  <c r="H486"/>
  <c r="R486" s="1"/>
  <c r="I486"/>
  <c r="S486" s="1"/>
  <c r="I421"/>
  <c r="S421" s="1"/>
  <c r="H421"/>
  <c r="R421" s="1"/>
  <c r="H415"/>
  <c r="R415" s="1"/>
  <c r="I415"/>
  <c r="S415" s="1"/>
  <c r="H485" l="1"/>
  <c r="R485" s="1"/>
  <c r="I420"/>
  <c r="S420" s="1"/>
  <c r="I485"/>
  <c r="S485" s="1"/>
  <c r="H420"/>
  <c r="R420" s="1"/>
  <c r="C29" i="18"/>
  <c r="D29"/>
  <c r="I412" i="11"/>
  <c r="S412" s="1"/>
  <c r="H412"/>
  <c r="R412" s="1"/>
  <c r="I407"/>
  <c r="S407" s="1"/>
  <c r="H407"/>
  <c r="R407" s="1"/>
  <c r="I402"/>
  <c r="S402" s="1"/>
  <c r="H402"/>
  <c r="R402" s="1"/>
  <c r="I395"/>
  <c r="H395"/>
  <c r="H394" s="1"/>
  <c r="I390"/>
  <c r="E40" i="35" s="1"/>
  <c r="E39" s="1"/>
  <c r="E38" s="1"/>
  <c r="E29" s="1"/>
  <c r="E2" s="1"/>
  <c r="H390" i="11"/>
  <c r="D40" i="35" s="1"/>
  <c r="D39" s="1"/>
  <c r="D38" s="1"/>
  <c r="D29" s="1"/>
  <c r="D2" s="1"/>
  <c r="S395" i="11" l="1"/>
  <c r="I394"/>
  <c r="S394" s="1"/>
  <c r="S390"/>
  <c r="F265" i="17"/>
  <c r="U265" s="1"/>
  <c r="R390" i="11"/>
  <c r="E265" i="17"/>
  <c r="T265" s="1"/>
  <c r="R395" i="11"/>
  <c r="H393"/>
  <c r="H484"/>
  <c r="R484" s="1"/>
  <c r="D26" i="18"/>
  <c r="I484" i="11"/>
  <c r="S484" s="1"/>
  <c r="C26" i="18"/>
  <c r="I401" i="11"/>
  <c r="S401" s="1"/>
  <c r="H406"/>
  <c r="R406" s="1"/>
  <c r="H411"/>
  <c r="R411" s="1"/>
  <c r="H401"/>
  <c r="R401" s="1"/>
  <c r="I406"/>
  <c r="S406" s="1"/>
  <c r="I411"/>
  <c r="S411" s="1"/>
  <c r="I389"/>
  <c r="H389"/>
  <c r="R389" l="1"/>
  <c r="E264" i="17"/>
  <c r="E239" s="1"/>
  <c r="S389" i="11"/>
  <c r="F264" i="17"/>
  <c r="R394" i="11"/>
  <c r="I405"/>
  <c r="S405" s="1"/>
  <c r="H400"/>
  <c r="R400" s="1"/>
  <c r="H410"/>
  <c r="R410" s="1"/>
  <c r="I400"/>
  <c r="S400" s="1"/>
  <c r="I410"/>
  <c r="S410" s="1"/>
  <c r="I393"/>
  <c r="S393" s="1"/>
  <c r="H405"/>
  <c r="R405" s="1"/>
  <c r="R393"/>
  <c r="I388"/>
  <c r="S388" s="1"/>
  <c r="H388"/>
  <c r="R388" s="1"/>
  <c r="T239" i="17" l="1"/>
  <c r="T264"/>
  <c r="F239"/>
  <c r="U239" s="1"/>
  <c r="U264"/>
  <c r="H392" i="11"/>
  <c r="R392" s="1"/>
  <c r="I392"/>
  <c r="S392" s="1"/>
  <c r="H409"/>
  <c r="R409" s="1"/>
  <c r="H387"/>
  <c r="R387" s="1"/>
  <c r="I409"/>
  <c r="S409" s="1"/>
  <c r="I387"/>
  <c r="S387" s="1"/>
  <c r="S379"/>
  <c r="E64" i="17"/>
  <c r="R377" i="11"/>
  <c r="F238" i="17" l="1"/>
  <c r="U238" s="1"/>
  <c r="S377" i="11"/>
  <c r="I376"/>
  <c r="E238" i="17"/>
  <c r="E230" s="1"/>
  <c r="E63"/>
  <c r="T63" s="1"/>
  <c r="T64"/>
  <c r="R379" i="11"/>
  <c r="I378"/>
  <c r="S378" s="1"/>
  <c r="H376"/>
  <c r="H378"/>
  <c r="R378" s="1"/>
  <c r="F230" i="17" l="1"/>
  <c r="U230" s="1"/>
  <c r="E57"/>
  <c r="T238"/>
  <c r="T230"/>
  <c r="C10" i="23"/>
  <c r="C74" s="1"/>
  <c r="R376" i="11"/>
  <c r="H372"/>
  <c r="S376"/>
  <c r="I372"/>
  <c r="S372" s="1"/>
  <c r="S368"/>
  <c r="R368"/>
  <c r="S367"/>
  <c r="R367"/>
  <c r="S363"/>
  <c r="R363"/>
  <c r="I358"/>
  <c r="H358"/>
  <c r="T57" i="17" l="1"/>
  <c r="E8"/>
  <c r="T8" s="1"/>
  <c r="D10" i="23"/>
  <c r="S358" i="11"/>
  <c r="R358"/>
  <c r="I366"/>
  <c r="S366" s="1"/>
  <c r="R372"/>
  <c r="F10" i="23"/>
  <c r="I12" i="27" s="1"/>
  <c r="I10" i="23"/>
  <c r="I362" i="11"/>
  <c r="S362" s="1"/>
  <c r="H362"/>
  <c r="R362" s="1"/>
  <c r="H366"/>
  <c r="R366" s="1"/>
  <c r="E7" i="17" l="1"/>
  <c r="T7" s="1"/>
  <c r="H357" i="11"/>
  <c r="H356" s="1"/>
  <c r="I357"/>
  <c r="I356" s="1"/>
  <c r="L12" i="27"/>
  <c r="M12" s="1"/>
  <c r="G10" i="23"/>
  <c r="I12" i="29"/>
  <c r="J10" i="23"/>
  <c r="L12" i="29"/>
  <c r="J12" i="27"/>
  <c r="G12" s="1"/>
  <c r="F12" s="1"/>
  <c r="H355" i="11" l="1"/>
  <c r="H354" s="1"/>
  <c r="S357"/>
  <c r="S356"/>
  <c r="R357"/>
  <c r="K9" i="27"/>
  <c r="H9" s="1"/>
  <c r="K9" i="29"/>
  <c r="H9" s="1"/>
  <c r="M12"/>
  <c r="J12"/>
  <c r="G12" s="1"/>
  <c r="F12" s="1"/>
  <c r="I352" i="11"/>
  <c r="S352" s="1"/>
  <c r="H352"/>
  <c r="R352" s="1"/>
  <c r="I351"/>
  <c r="S351" s="1"/>
  <c r="H351"/>
  <c r="R351" s="1"/>
  <c r="R356" l="1"/>
  <c r="I355"/>
  <c r="R355"/>
  <c r="I350"/>
  <c r="S350" s="1"/>
  <c r="H350"/>
  <c r="R350" s="1"/>
  <c r="I346"/>
  <c r="S346" s="1"/>
  <c r="H346"/>
  <c r="R346" s="1"/>
  <c r="I340"/>
  <c r="S340" s="1"/>
  <c r="H340"/>
  <c r="R340" s="1"/>
  <c r="S355" l="1"/>
  <c r="I354"/>
  <c r="S354" s="1"/>
  <c r="C7" i="23"/>
  <c r="H349" i="11"/>
  <c r="R349" s="1"/>
  <c r="I349"/>
  <c r="S349" s="1"/>
  <c r="R354"/>
  <c r="H345"/>
  <c r="R345" s="1"/>
  <c r="H339"/>
  <c r="R339" s="1"/>
  <c r="I339"/>
  <c r="S339" s="1"/>
  <c r="I345"/>
  <c r="S345" s="1"/>
  <c r="D7" i="23" l="1"/>
  <c r="I7"/>
  <c r="L9" i="29" s="1"/>
  <c r="D25" i="18"/>
  <c r="H338" i="11"/>
  <c r="R338" s="1"/>
  <c r="F7" i="23"/>
  <c r="G7" s="1"/>
  <c r="I338" i="11"/>
  <c r="S338" s="1"/>
  <c r="C25" i="18"/>
  <c r="H344" i="11"/>
  <c r="R344" s="1"/>
  <c r="I344"/>
  <c r="S344" s="1"/>
  <c r="I328"/>
  <c r="H328"/>
  <c r="S328" l="1"/>
  <c r="I323"/>
  <c r="R328"/>
  <c r="H323"/>
  <c r="S324"/>
  <c r="R324"/>
  <c r="I9" i="29"/>
  <c r="J9" s="1"/>
  <c r="G9" s="1"/>
  <c r="F9" s="1"/>
  <c r="J7" i="23"/>
  <c r="L9" i="27"/>
  <c r="I9"/>
  <c r="J9" s="1"/>
  <c r="G9" s="1"/>
  <c r="F9" s="1"/>
  <c r="H337" i="11"/>
  <c r="R337" s="1"/>
  <c r="I337"/>
  <c r="S337" s="1"/>
  <c r="H343"/>
  <c r="R343" s="1"/>
  <c r="I343"/>
  <c r="S343" s="1"/>
  <c r="R323" l="1"/>
  <c r="H322"/>
  <c r="R322" s="1"/>
  <c r="S323"/>
  <c r="I322"/>
  <c r="S322" s="1"/>
  <c r="M9" i="29"/>
  <c r="M9" i="27"/>
  <c r="I315" i="11"/>
  <c r="S315" s="1"/>
  <c r="H315"/>
  <c r="R315" s="1"/>
  <c r="I308"/>
  <c r="S308" s="1"/>
  <c r="H308"/>
  <c r="R308" s="1"/>
  <c r="K9" i="21" l="1"/>
  <c r="H9" s="1"/>
  <c r="H307" i="11"/>
  <c r="R307" s="1"/>
  <c r="H314"/>
  <c r="R314" s="1"/>
  <c r="H321"/>
  <c r="R321" s="1"/>
  <c r="I321"/>
  <c r="S321" s="1"/>
  <c r="I307"/>
  <c r="S307" s="1"/>
  <c r="I314"/>
  <c r="S314" s="1"/>
  <c r="H306" l="1"/>
  <c r="R306" s="1"/>
  <c r="I306"/>
  <c r="S306" s="1"/>
  <c r="H320"/>
  <c r="I313"/>
  <c r="S313" s="1"/>
  <c r="I320"/>
  <c r="H313"/>
  <c r="R313" s="1"/>
  <c r="I301"/>
  <c r="S301" s="1"/>
  <c r="H301"/>
  <c r="R301" s="1"/>
  <c r="S320" l="1"/>
  <c r="I319"/>
  <c r="S319" s="1"/>
  <c r="R320"/>
  <c r="H319"/>
  <c r="R319" s="1"/>
  <c r="H305"/>
  <c r="R305" s="1"/>
  <c r="I305"/>
  <c r="S305" s="1"/>
  <c r="I312"/>
  <c r="S312" s="1"/>
  <c r="C24" i="18"/>
  <c r="H312" i="11"/>
  <c r="R312" s="1"/>
  <c r="D24" i="18"/>
  <c r="I300" i="11"/>
  <c r="S300" s="1"/>
  <c r="H300"/>
  <c r="R300" s="1"/>
  <c r="H304" l="1"/>
  <c r="R304" s="1"/>
  <c r="I304"/>
  <c r="S304" s="1"/>
  <c r="H318"/>
  <c r="R318" s="1"/>
  <c r="I311"/>
  <c r="I318"/>
  <c r="H311"/>
  <c r="I298"/>
  <c r="S298" s="1"/>
  <c r="H298"/>
  <c r="R298" s="1"/>
  <c r="I295"/>
  <c r="S295" s="1"/>
  <c r="H295"/>
  <c r="R295" s="1"/>
  <c r="R311" l="1"/>
  <c r="C34" i="18"/>
  <c r="S311" i="11"/>
  <c r="D34" i="18"/>
  <c r="S318" i="11"/>
  <c r="K8" i="26"/>
  <c r="L8" s="1"/>
  <c r="M8" i="25"/>
  <c r="N8" s="1"/>
  <c r="L9" i="21"/>
  <c r="I9"/>
  <c r="I303" i="11"/>
  <c r="S303" s="1"/>
  <c r="H303"/>
  <c r="R303" s="1"/>
  <c r="H294"/>
  <c r="R294" s="1"/>
  <c r="H310"/>
  <c r="R310" s="1"/>
  <c r="I294"/>
  <c r="S294" s="1"/>
  <c r="I297"/>
  <c r="S297" s="1"/>
  <c r="H297"/>
  <c r="R297" s="1"/>
  <c r="I310"/>
  <c r="S310" s="1"/>
  <c r="I291"/>
  <c r="S291" s="1"/>
  <c r="H291"/>
  <c r="R291" s="1"/>
  <c r="I287"/>
  <c r="S287" s="1"/>
  <c r="H287"/>
  <c r="R287" s="1"/>
  <c r="I284"/>
  <c r="S284" s="1"/>
  <c r="H284"/>
  <c r="R284" s="1"/>
  <c r="M9" i="21" l="1"/>
  <c r="J9"/>
  <c r="G9" s="1"/>
  <c r="F9" s="1"/>
  <c r="H290" i="11"/>
  <c r="R290" s="1"/>
  <c r="H286"/>
  <c r="R286" s="1"/>
  <c r="I283"/>
  <c r="S283" s="1"/>
  <c r="I290"/>
  <c r="S290" s="1"/>
  <c r="H293"/>
  <c r="R293" s="1"/>
  <c r="I286"/>
  <c r="S286" s="1"/>
  <c r="H283"/>
  <c r="R283" s="1"/>
  <c r="I293"/>
  <c r="S293" s="1"/>
  <c r="H282" l="1"/>
  <c r="R282" s="1"/>
  <c r="I282"/>
  <c r="S282" s="1"/>
  <c r="H281" l="1"/>
  <c r="R281" s="1"/>
  <c r="I281"/>
  <c r="S281" s="1"/>
  <c r="I277"/>
  <c r="S277" s="1"/>
  <c r="H277"/>
  <c r="R277" s="1"/>
  <c r="S272"/>
  <c r="R272"/>
  <c r="I265"/>
  <c r="S265" s="1"/>
  <c r="H265"/>
  <c r="R265" s="1"/>
  <c r="I258"/>
  <c r="H258"/>
  <c r="S258" l="1"/>
  <c r="I257"/>
  <c r="S257" s="1"/>
  <c r="R258"/>
  <c r="H257"/>
  <c r="R257" s="1"/>
  <c r="H280"/>
  <c r="R280" s="1"/>
  <c r="H273"/>
  <c r="R273" s="1"/>
  <c r="I273"/>
  <c r="S273" s="1"/>
  <c r="I276"/>
  <c r="S276" s="1"/>
  <c r="H264"/>
  <c r="R264" s="1"/>
  <c r="I280"/>
  <c r="S280" s="1"/>
  <c r="H276"/>
  <c r="R276" s="1"/>
  <c r="I264"/>
  <c r="S264" s="1"/>
  <c r="I269"/>
  <c r="H269"/>
  <c r="I255"/>
  <c r="S255" s="1"/>
  <c r="H255"/>
  <c r="R255" s="1"/>
  <c r="I252"/>
  <c r="S252" s="1"/>
  <c r="H252"/>
  <c r="R252" s="1"/>
  <c r="I249"/>
  <c r="S249" s="1"/>
  <c r="H249"/>
  <c r="R249" s="1"/>
  <c r="S269" l="1"/>
  <c r="I268"/>
  <c r="S268" s="1"/>
  <c r="R269"/>
  <c r="H268"/>
  <c r="R268" s="1"/>
  <c r="H279"/>
  <c r="R279" s="1"/>
  <c r="I275"/>
  <c r="S275" s="1"/>
  <c r="H263"/>
  <c r="R263" s="1"/>
  <c r="I279"/>
  <c r="S279" s="1"/>
  <c r="H275"/>
  <c r="R275" s="1"/>
  <c r="I248"/>
  <c r="S248" s="1"/>
  <c r="I251"/>
  <c r="S251" s="1"/>
  <c r="I254"/>
  <c r="S254" s="1"/>
  <c r="H248"/>
  <c r="R248" s="1"/>
  <c r="H254"/>
  <c r="R254" s="1"/>
  <c r="I263"/>
  <c r="S263" s="1"/>
  <c r="H251"/>
  <c r="R251" s="1"/>
  <c r="I235"/>
  <c r="S235" s="1"/>
  <c r="H235"/>
  <c r="R235" s="1"/>
  <c r="I228"/>
  <c r="S228" s="1"/>
  <c r="H228"/>
  <c r="R228" s="1"/>
  <c r="I226"/>
  <c r="S226" s="1"/>
  <c r="H226"/>
  <c r="R226" s="1"/>
  <c r="S222"/>
  <c r="H221"/>
  <c r="R221" s="1"/>
  <c r="H262" l="1"/>
  <c r="R262" s="1"/>
  <c r="I247"/>
  <c r="S247" s="1"/>
  <c r="H247"/>
  <c r="R247" s="1"/>
  <c r="H234"/>
  <c r="R234" s="1"/>
  <c r="H220"/>
  <c r="R220" s="1"/>
  <c r="I262"/>
  <c r="S262" s="1"/>
  <c r="I267"/>
  <c r="S267" s="1"/>
  <c r="I234"/>
  <c r="S234" s="1"/>
  <c r="I221"/>
  <c r="S221" s="1"/>
  <c r="H267"/>
  <c r="R267" s="1"/>
  <c r="I225"/>
  <c r="S225" s="1"/>
  <c r="H225"/>
  <c r="R225" s="1"/>
  <c r="H219" l="1"/>
  <c r="R219" s="1"/>
  <c r="C31" i="23"/>
  <c r="I246" i="11"/>
  <c r="S246" s="1"/>
  <c r="H246"/>
  <c r="R246" s="1"/>
  <c r="I224"/>
  <c r="S224" s="1"/>
  <c r="I233"/>
  <c r="S233" s="1"/>
  <c r="I220"/>
  <c r="S220" s="1"/>
  <c r="H224"/>
  <c r="R224" s="1"/>
  <c r="H233"/>
  <c r="R233" s="1"/>
  <c r="D31" i="23" l="1"/>
  <c r="I240" i="11"/>
  <c r="S240" s="1"/>
  <c r="H240"/>
  <c r="R240" s="1"/>
  <c r="F31" i="23"/>
  <c r="G31" s="1"/>
  <c r="I14" i="28"/>
  <c r="J14" s="1"/>
  <c r="G14" s="1"/>
  <c r="F14" s="1"/>
  <c r="I14" i="24"/>
  <c r="J14" s="1"/>
  <c r="G14" s="1"/>
  <c r="F14" s="1"/>
  <c r="H218" i="11"/>
  <c r="R218" s="1"/>
  <c r="I31" i="23"/>
  <c r="J31" s="1"/>
  <c r="H223" i="11"/>
  <c r="R223" s="1"/>
  <c r="I223"/>
  <c r="S223" s="1"/>
  <c r="H232"/>
  <c r="R232" s="1"/>
  <c r="I219"/>
  <c r="S219" s="1"/>
  <c r="I232"/>
  <c r="S232" s="1"/>
  <c r="I216"/>
  <c r="S216" s="1"/>
  <c r="H216"/>
  <c r="R216" s="1"/>
  <c r="M14" i="24" l="1"/>
  <c r="H239" i="11"/>
  <c r="R239" s="1"/>
  <c r="C8" i="18"/>
  <c r="I14" i="30"/>
  <c r="J14" s="1"/>
  <c r="G14" s="1"/>
  <c r="F14" s="1"/>
  <c r="I239" i="11"/>
  <c r="S239" s="1"/>
  <c r="H231"/>
  <c r="R231" s="1"/>
  <c r="I218"/>
  <c r="S218" s="1"/>
  <c r="I231"/>
  <c r="S231" s="1"/>
  <c r="I20" i="21"/>
  <c r="L20"/>
  <c r="I213" i="11"/>
  <c r="H213"/>
  <c r="S213" l="1"/>
  <c r="F700" i="17"/>
  <c r="R213" i="11"/>
  <c r="E700" i="17"/>
  <c r="H238" i="11"/>
  <c r="R238" s="1"/>
  <c r="I238"/>
  <c r="I212"/>
  <c r="S212" s="1"/>
  <c r="I230"/>
  <c r="S230" s="1"/>
  <c r="D46" i="18"/>
  <c r="D45" s="1"/>
  <c r="D8"/>
  <c r="H230" i="11"/>
  <c r="R230" s="1"/>
  <c r="C46" i="18"/>
  <c r="C45" s="1"/>
  <c r="M20" i="21"/>
  <c r="J20"/>
  <c r="G20" s="1"/>
  <c r="F20" s="1"/>
  <c r="H212" i="11"/>
  <c r="R212" s="1"/>
  <c r="F699" i="17" l="1"/>
  <c r="U699" s="1"/>
  <c r="U700"/>
  <c r="E699"/>
  <c r="T699" s="1"/>
  <c r="T700"/>
  <c r="E698"/>
  <c r="S238" i="11"/>
  <c r="I211"/>
  <c r="S211" s="1"/>
  <c r="H211"/>
  <c r="R211" s="1"/>
  <c r="K7" i="26"/>
  <c r="L7" s="1"/>
  <c r="M7" i="25"/>
  <c r="N7" s="1"/>
  <c r="K14" i="21"/>
  <c r="H14" s="1"/>
  <c r="I45" i="18"/>
  <c r="J45"/>
  <c r="F698" i="17" l="1"/>
  <c r="U698" s="1"/>
  <c r="E697"/>
  <c r="T697" s="1"/>
  <c r="T698"/>
  <c r="S205" i="11"/>
  <c r="F331" i="17"/>
  <c r="R205" i="11"/>
  <c r="E331" i="17"/>
  <c r="I210" i="11"/>
  <c r="S210" s="1"/>
  <c r="K14" i="29"/>
  <c r="H14" s="1"/>
  <c r="H28" s="1"/>
  <c r="K14" i="27"/>
  <c r="H14" s="1"/>
  <c r="H28" s="1"/>
  <c r="H210" i="11"/>
  <c r="R210" s="1"/>
  <c r="H204"/>
  <c r="R204" s="1"/>
  <c r="I204"/>
  <c r="S204" s="1"/>
  <c r="E330" i="17" l="1"/>
  <c r="E329" s="1"/>
  <c r="T331"/>
  <c r="F697"/>
  <c r="U697" s="1"/>
  <c r="F330"/>
  <c r="U330" s="1"/>
  <c r="U331"/>
  <c r="H203" i="11"/>
  <c r="R203" s="1"/>
  <c r="I203"/>
  <c r="S203" s="1"/>
  <c r="I209"/>
  <c r="S209" s="1"/>
  <c r="K28" i="29"/>
  <c r="C30" i="23"/>
  <c r="H209" i="11"/>
  <c r="R209" s="1"/>
  <c r="F329" i="17" l="1"/>
  <c r="F328" s="1"/>
  <c r="T330"/>
  <c r="E328"/>
  <c r="T329"/>
  <c r="D30" i="23"/>
  <c r="I30"/>
  <c r="J30" s="1"/>
  <c r="I208" i="11"/>
  <c r="S208" s="1"/>
  <c r="D7" i="18"/>
  <c r="F30" i="23"/>
  <c r="G30" s="1"/>
  <c r="I13" i="28"/>
  <c r="J13" s="1"/>
  <c r="G13" s="1"/>
  <c r="F13" s="1"/>
  <c r="H202" i="11"/>
  <c r="R202" s="1"/>
  <c r="H208"/>
  <c r="R208" s="1"/>
  <c r="C7" i="18"/>
  <c r="I202" i="11"/>
  <c r="S202" s="1"/>
  <c r="I13" i="24"/>
  <c r="U329" i="17" l="1"/>
  <c r="F327"/>
  <c r="U327" s="1"/>
  <c r="U328"/>
  <c r="E327"/>
  <c r="T327" s="1"/>
  <c r="T328"/>
  <c r="I13" i="30"/>
  <c r="J13" s="1"/>
  <c r="G13" s="1"/>
  <c r="F13" s="1"/>
  <c r="I207" i="11"/>
  <c r="H207"/>
  <c r="R207" s="1"/>
  <c r="H201"/>
  <c r="R201" s="1"/>
  <c r="I201"/>
  <c r="S201" s="1"/>
  <c r="M13" i="24"/>
  <c r="J13"/>
  <c r="G13" s="1"/>
  <c r="F13" s="1"/>
  <c r="S207" i="11" l="1"/>
  <c r="K6" i="26"/>
  <c r="L6" s="1"/>
  <c r="M6" i="25"/>
  <c r="N6" s="1"/>
  <c r="C12" i="23"/>
  <c r="C77" s="1"/>
  <c r="I200" i="11"/>
  <c r="S200" s="1"/>
  <c r="H200"/>
  <c r="R200" s="1"/>
  <c r="C18" i="18"/>
  <c r="D18"/>
  <c r="I197" i="11"/>
  <c r="S197" l="1"/>
  <c r="I196"/>
  <c r="S196" s="1"/>
  <c r="R197"/>
  <c r="H196"/>
  <c r="R196" s="1"/>
  <c r="D12" i="23"/>
  <c r="F12"/>
  <c r="I199" i="11"/>
  <c r="S199" s="1"/>
  <c r="D35" i="18"/>
  <c r="D33" s="1"/>
  <c r="H199" i="11"/>
  <c r="R199" s="1"/>
  <c r="C35" i="18"/>
  <c r="C33" s="1"/>
  <c r="I12" i="23"/>
  <c r="I33" i="18" l="1"/>
  <c r="J33"/>
  <c r="I14" i="21"/>
  <c r="J14" s="1"/>
  <c r="G14" s="1"/>
  <c r="F14" s="1"/>
  <c r="L14"/>
  <c r="L14" i="27"/>
  <c r="G12" i="23"/>
  <c r="H195" i="11"/>
  <c r="R195" s="1"/>
  <c r="I195"/>
  <c r="S195" s="1"/>
  <c r="I14" i="29"/>
  <c r="J12" i="23"/>
  <c r="L14" i="29"/>
  <c r="I186" i="11"/>
  <c r="H186"/>
  <c r="I182"/>
  <c r="S182" s="1"/>
  <c r="H182"/>
  <c r="R182" s="1"/>
  <c r="I178"/>
  <c r="S178" s="1"/>
  <c r="H178"/>
  <c r="R178" s="1"/>
  <c r="I176"/>
  <c r="S176" s="1"/>
  <c r="H176"/>
  <c r="R176" s="1"/>
  <c r="I174"/>
  <c r="S174" s="1"/>
  <c r="H174"/>
  <c r="R174" s="1"/>
  <c r="I170"/>
  <c r="S170" s="1"/>
  <c r="H170"/>
  <c r="R170" s="1"/>
  <c r="S186" l="1"/>
  <c r="I181"/>
  <c r="S181" s="1"/>
  <c r="R186"/>
  <c r="H181"/>
  <c r="R181" s="1"/>
  <c r="I18" i="18"/>
  <c r="I194" i="11"/>
  <c r="S194" s="1"/>
  <c r="I169"/>
  <c r="S169" s="1"/>
  <c r="H194"/>
  <c r="R194" s="1"/>
  <c r="H169"/>
  <c r="R169" s="1"/>
  <c r="M14" i="29"/>
  <c r="J14"/>
  <c r="G14" s="1"/>
  <c r="F14" s="1"/>
  <c r="I173" i="11"/>
  <c r="S173" s="1"/>
  <c r="H173"/>
  <c r="R173" s="1"/>
  <c r="I161"/>
  <c r="S161" s="1"/>
  <c r="H161"/>
  <c r="R161" s="1"/>
  <c r="I158"/>
  <c r="S158" s="1"/>
  <c r="H158"/>
  <c r="R158" s="1"/>
  <c r="H193" l="1"/>
  <c r="I193"/>
  <c r="J18" i="18"/>
  <c r="H168" i="11"/>
  <c r="R168" s="1"/>
  <c r="I180"/>
  <c r="S180" s="1"/>
  <c r="I168"/>
  <c r="S168" s="1"/>
  <c r="I160"/>
  <c r="S160" s="1"/>
  <c r="I157"/>
  <c r="S157" s="1"/>
  <c r="H157"/>
  <c r="R157" s="1"/>
  <c r="H160"/>
  <c r="R160" s="1"/>
  <c r="H180"/>
  <c r="R180" s="1"/>
  <c r="R193" l="1"/>
  <c r="C17" i="18"/>
  <c r="C13" s="1"/>
  <c r="S193" i="11"/>
  <c r="D17" i="18"/>
  <c r="D13" s="1"/>
  <c r="H167" i="11"/>
  <c r="H166" s="1"/>
  <c r="H156"/>
  <c r="R156" s="1"/>
  <c r="I156"/>
  <c r="S156" s="1"/>
  <c r="I192"/>
  <c r="S192" s="1"/>
  <c r="I167"/>
  <c r="H192"/>
  <c r="R192" s="1"/>
  <c r="I152"/>
  <c r="S152" s="1"/>
  <c r="H152"/>
  <c r="R152" s="1"/>
  <c r="S167" l="1"/>
  <c r="I166"/>
  <c r="S166" s="1"/>
  <c r="R167"/>
  <c r="R166"/>
  <c r="L19" i="21"/>
  <c r="I155" i="11"/>
  <c r="S155" s="1"/>
  <c r="H155"/>
  <c r="R155" s="1"/>
  <c r="I12" i="24"/>
  <c r="I151" i="11"/>
  <c r="S151" s="1"/>
  <c r="H151"/>
  <c r="R151" s="1"/>
  <c r="I19" i="21" l="1"/>
  <c r="M19" s="1"/>
  <c r="I154" i="11"/>
  <c r="S154" s="1"/>
  <c r="H154"/>
  <c r="R154" s="1"/>
  <c r="I13" i="18"/>
  <c r="J13"/>
  <c r="H165" i="11"/>
  <c r="H150"/>
  <c r="R150" s="1"/>
  <c r="I165"/>
  <c r="I150"/>
  <c r="S150" s="1"/>
  <c r="J12" i="24"/>
  <c r="G12" s="1"/>
  <c r="F12" s="1"/>
  <c r="M12"/>
  <c r="I145" i="11"/>
  <c r="S145" s="1"/>
  <c r="H145"/>
  <c r="R145" s="1"/>
  <c r="I138"/>
  <c r="S138" s="1"/>
  <c r="H138"/>
  <c r="R138" s="1"/>
  <c r="R165" l="1"/>
  <c r="H164"/>
  <c r="R164" s="1"/>
  <c r="S165"/>
  <c r="I164"/>
  <c r="J19" i="21"/>
  <c r="G19" s="1"/>
  <c r="F19" s="1"/>
  <c r="M18" s="1"/>
  <c r="H149" i="11"/>
  <c r="R149" s="1"/>
  <c r="I149"/>
  <c r="S149" s="1"/>
  <c r="I137"/>
  <c r="S137" s="1"/>
  <c r="H137"/>
  <c r="R137" s="1"/>
  <c r="I144"/>
  <c r="S144" s="1"/>
  <c r="H144"/>
  <c r="R144" s="1"/>
  <c r="S164" l="1"/>
  <c r="K5" i="26"/>
  <c r="L5" s="1"/>
  <c r="M5" i="25"/>
  <c r="N5" s="1"/>
  <c r="L12" i="21"/>
  <c r="H148" i="11"/>
  <c r="R148" s="1"/>
  <c r="H143"/>
  <c r="R143" s="1"/>
  <c r="I143"/>
  <c r="S143" s="1"/>
  <c r="I136"/>
  <c r="S136" s="1"/>
  <c r="I148"/>
  <c r="S148" s="1"/>
  <c r="H136"/>
  <c r="R136" s="1"/>
  <c r="H147" l="1"/>
  <c r="R147" s="1"/>
  <c r="I142"/>
  <c r="S142" s="1"/>
  <c r="H135"/>
  <c r="R135" s="1"/>
  <c r="I147"/>
  <c r="S147" s="1"/>
  <c r="I135"/>
  <c r="S135" s="1"/>
  <c r="H142"/>
  <c r="R142" s="1"/>
  <c r="I129"/>
  <c r="S129" s="1"/>
  <c r="H129"/>
  <c r="R129" s="1"/>
  <c r="I134" l="1"/>
  <c r="S134" s="1"/>
  <c r="H134"/>
  <c r="R134" s="1"/>
  <c r="I141"/>
  <c r="H141"/>
  <c r="I128"/>
  <c r="S128" s="1"/>
  <c r="H128"/>
  <c r="R128" s="1"/>
  <c r="S141" l="1"/>
  <c r="D31" i="18"/>
  <c r="D30" s="1"/>
  <c r="R141" i="11"/>
  <c r="C31" i="18"/>
  <c r="C30" s="1"/>
  <c r="I127" i="11"/>
  <c r="S127" s="1"/>
  <c r="C27" i="18"/>
  <c r="C23" s="1"/>
  <c r="H133" i="11"/>
  <c r="R133" s="1"/>
  <c r="D27" i="18"/>
  <c r="D23" s="1"/>
  <c r="I133" i="11"/>
  <c r="S133" s="1"/>
  <c r="I140"/>
  <c r="S140" s="1"/>
  <c r="H127"/>
  <c r="R127" s="1"/>
  <c r="H140"/>
  <c r="R140" s="1"/>
  <c r="I30" i="18" l="1"/>
  <c r="H126" i="11"/>
  <c r="R126" s="1"/>
  <c r="I126"/>
  <c r="S126" s="1"/>
  <c r="J23" i="18"/>
  <c r="I23"/>
  <c r="I122" i="11"/>
  <c r="S122" l="1"/>
  <c r="H123"/>
  <c r="E891" i="17" s="1"/>
  <c r="F65" i="18"/>
  <c r="J30"/>
  <c r="C12"/>
  <c r="H125" i="11"/>
  <c r="R125" s="1"/>
  <c r="D12" i="18"/>
  <c r="I125" i="11"/>
  <c r="S125" s="1"/>
  <c r="I121"/>
  <c r="S121" s="1"/>
  <c r="E890" i="17" l="1"/>
  <c r="E871" s="1"/>
  <c r="T891"/>
  <c r="R123" i="11"/>
  <c r="H122"/>
  <c r="I120"/>
  <c r="S120" s="1"/>
  <c r="I112"/>
  <c r="S112" s="1"/>
  <c r="H112"/>
  <c r="R112" s="1"/>
  <c r="I107"/>
  <c r="S107" s="1"/>
  <c r="H107"/>
  <c r="R107" s="1"/>
  <c r="I104"/>
  <c r="S104" s="1"/>
  <c r="H104"/>
  <c r="R104" s="1"/>
  <c r="I101"/>
  <c r="S101" s="1"/>
  <c r="H101"/>
  <c r="R101" s="1"/>
  <c r="I97"/>
  <c r="S97" s="1"/>
  <c r="H97"/>
  <c r="R97" s="1"/>
  <c r="T890" i="17" l="1"/>
  <c r="T871"/>
  <c r="S95" i="11"/>
  <c r="F541" i="17"/>
  <c r="R95" i="11"/>
  <c r="E541" i="17"/>
  <c r="R122" i="11"/>
  <c r="H121"/>
  <c r="H106"/>
  <c r="R106" s="1"/>
  <c r="H111"/>
  <c r="R111" s="1"/>
  <c r="I96"/>
  <c r="S96" s="1"/>
  <c r="H96"/>
  <c r="R96" s="1"/>
  <c r="I100"/>
  <c r="S100" s="1"/>
  <c r="I103"/>
  <c r="S103" s="1"/>
  <c r="H100"/>
  <c r="R100" s="1"/>
  <c r="H103"/>
  <c r="R103" s="1"/>
  <c r="I106"/>
  <c r="S106" s="1"/>
  <c r="I111"/>
  <c r="S111" s="1"/>
  <c r="I116"/>
  <c r="S116" s="1"/>
  <c r="H116"/>
  <c r="R116" s="1"/>
  <c r="I94"/>
  <c r="S94" s="1"/>
  <c r="H94"/>
  <c r="R94" s="1"/>
  <c r="I92"/>
  <c r="S92" s="1"/>
  <c r="H92"/>
  <c r="R92" s="1"/>
  <c r="F540" i="17" l="1"/>
  <c r="F536" s="1"/>
  <c r="U541"/>
  <c r="E540"/>
  <c r="T540" s="1"/>
  <c r="T541"/>
  <c r="E870"/>
  <c r="T870" s="1"/>
  <c r="R121" i="11"/>
  <c r="H120"/>
  <c r="R120" s="1"/>
  <c r="I115"/>
  <c r="S115" s="1"/>
  <c r="H115"/>
  <c r="R115" s="1"/>
  <c r="H99"/>
  <c r="R99" s="1"/>
  <c r="I110"/>
  <c r="S110" s="1"/>
  <c r="I99"/>
  <c r="S99" s="1"/>
  <c r="H110"/>
  <c r="R110" s="1"/>
  <c r="I91"/>
  <c r="S91" s="1"/>
  <c r="H91"/>
  <c r="R91" s="1"/>
  <c r="I89"/>
  <c r="S89" s="1"/>
  <c r="H89"/>
  <c r="R89" s="1"/>
  <c r="E536" i="17" l="1"/>
  <c r="T536" s="1"/>
  <c r="U540"/>
  <c r="F532"/>
  <c r="U536"/>
  <c r="H109" i="11"/>
  <c r="R109" s="1"/>
  <c r="I109"/>
  <c r="S109" s="1"/>
  <c r="H88"/>
  <c r="R88" s="1"/>
  <c r="H114"/>
  <c r="R114" s="1"/>
  <c r="I114"/>
  <c r="S114" s="1"/>
  <c r="I88"/>
  <c r="S88" s="1"/>
  <c r="I84"/>
  <c r="S84" s="1"/>
  <c r="H84"/>
  <c r="R84" s="1"/>
  <c r="E532" i="17" l="1"/>
  <c r="T532" s="1"/>
  <c r="F531"/>
  <c r="U531" s="1"/>
  <c r="U532"/>
  <c r="H87" i="11"/>
  <c r="R87" s="1"/>
  <c r="I87"/>
  <c r="S87" s="1"/>
  <c r="I83"/>
  <c r="S83" s="1"/>
  <c r="H83"/>
  <c r="R83" s="1"/>
  <c r="I81"/>
  <c r="S81" s="1"/>
  <c r="H81"/>
  <c r="R81" s="1"/>
  <c r="E531" i="17" l="1"/>
  <c r="C21" i="23" s="1"/>
  <c r="C75" s="1"/>
  <c r="H86" i="11"/>
  <c r="R86" s="1"/>
  <c r="I86"/>
  <c r="S86" s="1"/>
  <c r="I80"/>
  <c r="S80" s="1"/>
  <c r="H80"/>
  <c r="R80" s="1"/>
  <c r="I76"/>
  <c r="S76" s="1"/>
  <c r="H76"/>
  <c r="R76" s="1"/>
  <c r="I71"/>
  <c r="S71" s="1"/>
  <c r="H71"/>
  <c r="R71" s="1"/>
  <c r="I69"/>
  <c r="S69" s="1"/>
  <c r="H69"/>
  <c r="R69" s="1"/>
  <c r="I58"/>
  <c r="S58" s="1"/>
  <c r="H58"/>
  <c r="R58" s="1"/>
  <c r="I55"/>
  <c r="S55" s="1"/>
  <c r="H55"/>
  <c r="R55" s="1"/>
  <c r="I53"/>
  <c r="S53" s="1"/>
  <c r="H53"/>
  <c r="R53" s="1"/>
  <c r="I50"/>
  <c r="H50"/>
  <c r="T531" i="17" l="1"/>
  <c r="S50" i="11"/>
  <c r="F668" i="17"/>
  <c r="R50" i="11"/>
  <c r="E668" i="17"/>
  <c r="D21" i="23"/>
  <c r="F21"/>
  <c r="H79" i="11"/>
  <c r="R79" s="1"/>
  <c r="I79"/>
  <c r="S79" s="1"/>
  <c r="I75"/>
  <c r="S75" s="1"/>
  <c r="H75"/>
  <c r="R75" s="1"/>
  <c r="H49"/>
  <c r="R49" s="1"/>
  <c r="R63"/>
  <c r="I49"/>
  <c r="S49" s="1"/>
  <c r="S63"/>
  <c r="H68"/>
  <c r="H67" s="1"/>
  <c r="H66" s="1"/>
  <c r="I68"/>
  <c r="I67" s="1"/>
  <c r="I66" s="1"/>
  <c r="S68" l="1"/>
  <c r="R68"/>
  <c r="F667" i="17"/>
  <c r="U667" s="1"/>
  <c r="U668"/>
  <c r="E667"/>
  <c r="T667" s="1"/>
  <c r="T668"/>
  <c r="I48" i="11"/>
  <c r="S48" s="1"/>
  <c r="H48"/>
  <c r="R48" s="1"/>
  <c r="C20" i="23"/>
  <c r="C76" s="1"/>
  <c r="D20"/>
  <c r="D26" s="1"/>
  <c r="I78" i="11"/>
  <c r="S78" s="1"/>
  <c r="H78"/>
  <c r="R78" s="1"/>
  <c r="G21" i="23"/>
  <c r="L23" i="27"/>
  <c r="I62" i="11"/>
  <c r="S62" s="1"/>
  <c r="I74"/>
  <c r="S74" s="1"/>
  <c r="H74"/>
  <c r="R74" s="1"/>
  <c r="H62"/>
  <c r="R62" s="1"/>
  <c r="I44"/>
  <c r="S44" s="1"/>
  <c r="H44"/>
  <c r="R44" s="1"/>
  <c r="H42"/>
  <c r="R42" s="1"/>
  <c r="E666" i="17" l="1"/>
  <c r="T666" s="1"/>
  <c r="F666"/>
  <c r="F665" s="1"/>
  <c r="I41" i="11"/>
  <c r="S41" s="1"/>
  <c r="F20" i="23"/>
  <c r="G20" s="1"/>
  <c r="K26" i="30"/>
  <c r="H26" s="1"/>
  <c r="I20" i="23"/>
  <c r="I22" i="29" s="1"/>
  <c r="K26" i="24"/>
  <c r="H26" s="1"/>
  <c r="H27" s="1"/>
  <c r="L23" i="21"/>
  <c r="I23"/>
  <c r="K26" i="28"/>
  <c r="K27" s="1"/>
  <c r="K29" s="1"/>
  <c r="K30" s="1"/>
  <c r="H47" i="11"/>
  <c r="R47" s="1"/>
  <c r="I47"/>
  <c r="S47" s="1"/>
  <c r="H61"/>
  <c r="R61" s="1"/>
  <c r="H73"/>
  <c r="I73"/>
  <c r="I61"/>
  <c r="S61" s="1"/>
  <c r="H41"/>
  <c r="R41" s="1"/>
  <c r="R73" l="1"/>
  <c r="H65"/>
  <c r="C9" i="18" s="1"/>
  <c r="S73" i="11"/>
  <c r="I65"/>
  <c r="D9" i="18" s="1"/>
  <c r="E665" i="17"/>
  <c r="T665" s="1"/>
  <c r="U666"/>
  <c r="F897"/>
  <c r="U897" s="1"/>
  <c r="U665"/>
  <c r="I40" i="11"/>
  <c r="S40" s="1"/>
  <c r="L22" i="27"/>
  <c r="K27" i="30"/>
  <c r="K29" s="1"/>
  <c r="K42" i="29" s="1"/>
  <c r="K46" s="1"/>
  <c r="L22"/>
  <c r="M22" s="1"/>
  <c r="K27" i="24"/>
  <c r="J20" i="23"/>
  <c r="J23" i="21"/>
  <c r="G23" s="1"/>
  <c r="F23" s="1"/>
  <c r="M23"/>
  <c r="H26" i="28"/>
  <c r="H27" s="1"/>
  <c r="H29" s="1"/>
  <c r="H41" i="27" s="1"/>
  <c r="H46" i="11"/>
  <c r="C43" i="23"/>
  <c r="J22" i="29"/>
  <c r="G22" s="1"/>
  <c r="F22" s="1"/>
  <c r="I60" i="11"/>
  <c r="S60" s="1"/>
  <c r="I46"/>
  <c r="H60"/>
  <c r="R60" s="1"/>
  <c r="H27" i="30"/>
  <c r="H29" s="1"/>
  <c r="H40" i="11"/>
  <c r="R40" s="1"/>
  <c r="S46" l="1"/>
  <c r="R46"/>
  <c r="C28" i="23"/>
  <c r="E897" i="17"/>
  <c r="E1" s="1"/>
  <c r="D28" i="23"/>
  <c r="D43"/>
  <c r="I39" i="11"/>
  <c r="S39" s="1"/>
  <c r="I43" i="23"/>
  <c r="I26" i="30" s="1"/>
  <c r="J26" s="1"/>
  <c r="G26" s="1"/>
  <c r="F26" s="1"/>
  <c r="I26" i="28"/>
  <c r="J26" s="1"/>
  <c r="G26" s="1"/>
  <c r="F26" s="1"/>
  <c r="F43" i="23"/>
  <c r="G43" s="1"/>
  <c r="I28"/>
  <c r="J28" s="1"/>
  <c r="I26" i="24"/>
  <c r="J26" s="1"/>
  <c r="G26" s="1"/>
  <c r="F26" s="1"/>
  <c r="I11" i="28"/>
  <c r="J11" s="1"/>
  <c r="G11" s="1"/>
  <c r="F11" s="1"/>
  <c r="C5" i="18"/>
  <c r="F28" i="23"/>
  <c r="G28" s="1"/>
  <c r="I11" i="24"/>
  <c r="M11" s="1"/>
  <c r="C6" i="18"/>
  <c r="D5"/>
  <c r="D6"/>
  <c r="L22" i="21"/>
  <c r="I22"/>
  <c r="H39" i="11"/>
  <c r="R39" s="1"/>
  <c r="I38" l="1"/>
  <c r="S38" s="1"/>
  <c r="H38"/>
  <c r="R38" s="1"/>
  <c r="T897" i="17"/>
  <c r="E903"/>
  <c r="J43" i="23"/>
  <c r="I11" i="30"/>
  <c r="J11" s="1"/>
  <c r="M26" i="24"/>
  <c r="J11"/>
  <c r="G11" s="1"/>
  <c r="F11" s="1"/>
  <c r="D3" i="18"/>
  <c r="M22" i="21"/>
  <c r="J22"/>
  <c r="G22" s="1"/>
  <c r="F22" s="1"/>
  <c r="C3" i="18"/>
  <c r="I37" i="11" l="1"/>
  <c r="G11" i="30"/>
  <c r="F11" s="1"/>
  <c r="S37" i="11" l="1"/>
  <c r="H37"/>
  <c r="R37" s="1"/>
  <c r="H34"/>
  <c r="R34" s="1"/>
  <c r="H29"/>
  <c r="R29" s="1"/>
  <c r="H21"/>
  <c r="R21" s="1"/>
  <c r="K20" i="36" l="1"/>
  <c r="K4" i="26"/>
  <c r="L4" s="1"/>
  <c r="M4" i="25"/>
  <c r="N4" s="1"/>
  <c r="H33" i="11"/>
  <c r="R33" s="1"/>
  <c r="H28"/>
  <c r="R28" s="1"/>
  <c r="H23"/>
  <c r="R23" s="1"/>
  <c r="H18"/>
  <c r="R18" s="1"/>
  <c r="H16"/>
  <c r="R16" s="1"/>
  <c r="H20" l="1"/>
  <c r="R20" s="1"/>
  <c r="H27"/>
  <c r="R27" s="1"/>
  <c r="H32"/>
  <c r="R32" s="1"/>
  <c r="H15"/>
  <c r="R15" s="1"/>
  <c r="H26" l="1"/>
  <c r="R26" s="1"/>
  <c r="H31"/>
  <c r="R31" s="1"/>
  <c r="H13"/>
  <c r="R13" s="1"/>
  <c r="H10"/>
  <c r="R10" s="1"/>
  <c r="H9" l="1"/>
  <c r="R9" s="1"/>
  <c r="D44" i="18"/>
  <c r="C43"/>
  <c r="H25" i="11"/>
  <c r="R25" s="1"/>
  <c r="C44" i="18"/>
  <c r="D43"/>
  <c r="I12" i="21"/>
  <c r="J12" s="1"/>
  <c r="H12"/>
  <c r="H28" s="1"/>
  <c r="H41" s="1"/>
  <c r="M11"/>
  <c r="I10" i="27"/>
  <c r="J10" s="1"/>
  <c r="G10" s="1"/>
  <c r="I11"/>
  <c r="J11" s="1"/>
  <c r="I13"/>
  <c r="J13" s="1"/>
  <c r="G13" s="1"/>
  <c r="F13" s="1"/>
  <c r="I14"/>
  <c r="J14" s="1"/>
  <c r="G14" s="1"/>
  <c r="F14" s="1"/>
  <c r="I16"/>
  <c r="J16" s="1"/>
  <c r="G16" s="1"/>
  <c r="F16" s="1"/>
  <c r="I17"/>
  <c r="J17" s="1"/>
  <c r="G17" s="1"/>
  <c r="F17" s="1"/>
  <c r="I18"/>
  <c r="J18" s="1"/>
  <c r="G18" s="1"/>
  <c r="F18" s="1"/>
  <c r="I19"/>
  <c r="J19" s="1"/>
  <c r="G19" s="1"/>
  <c r="F19" s="1"/>
  <c r="I20"/>
  <c r="J20" s="1"/>
  <c r="G20" s="1"/>
  <c r="F20" s="1"/>
  <c r="I21"/>
  <c r="J21" s="1"/>
  <c r="G21" s="1"/>
  <c r="F21" s="1"/>
  <c r="I22"/>
  <c r="J22" s="1"/>
  <c r="G22" s="1"/>
  <c r="F22" s="1"/>
  <c r="I23"/>
  <c r="J23" s="1"/>
  <c r="G23" s="1"/>
  <c r="F23" s="1"/>
  <c r="I24"/>
  <c r="J24" s="1"/>
  <c r="G24" s="1"/>
  <c r="F24" s="1"/>
  <c r="I25"/>
  <c r="J25" s="1"/>
  <c r="G25" s="1"/>
  <c r="F25" s="1"/>
  <c r="I26"/>
  <c r="J26" s="1"/>
  <c r="G26" s="1"/>
  <c r="F26" s="1"/>
  <c r="I27"/>
  <c r="J27" s="1"/>
  <c r="G27" s="1"/>
  <c r="F27" s="1"/>
  <c r="J23" i="30"/>
  <c r="H42" i="29"/>
  <c r="K36"/>
  <c r="K37" s="1"/>
  <c r="K39" s="1"/>
  <c r="K33"/>
  <c r="K34" s="1"/>
  <c r="L11" i="28"/>
  <c r="M11" s="1"/>
  <c r="L12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11" i="30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C10" i="18"/>
  <c r="I10"/>
  <c r="D10"/>
  <c r="D60" i="23"/>
  <c r="C60"/>
  <c r="M14" i="21"/>
  <c r="K28"/>
  <c r="K34" s="1"/>
  <c r="K35"/>
  <c r="F31"/>
  <c r="F30" i="27"/>
  <c r="K28"/>
  <c r="K41" s="1"/>
  <c r="K45" s="1"/>
  <c r="M27" i="29"/>
  <c r="M10" i="27" l="1"/>
  <c r="D42" i="18"/>
  <c r="M23" i="27"/>
  <c r="M27"/>
  <c r="M19"/>
  <c r="C42" i="18"/>
  <c r="M26" i="27"/>
  <c r="M18"/>
  <c r="M22"/>
  <c r="M12" i="21"/>
  <c r="M17" i="27"/>
  <c r="M25"/>
  <c r="M13"/>
  <c r="M21"/>
  <c r="M20"/>
  <c r="M24"/>
  <c r="M16"/>
  <c r="M11"/>
  <c r="H8" i="11"/>
  <c r="R8" s="1"/>
  <c r="M14" i="27"/>
  <c r="J10" i="18"/>
  <c r="G23" i="30"/>
  <c r="M12" i="28"/>
  <c r="F31" i="27"/>
  <c r="K36" i="21"/>
  <c r="G11" i="27"/>
  <c r="F11" s="1"/>
  <c r="G12" i="21"/>
  <c r="J28"/>
  <c r="F10" i="27"/>
  <c r="K33"/>
  <c r="K41" i="21"/>
  <c r="I42" i="18" l="1"/>
  <c r="C27" i="23"/>
  <c r="H7" i="11"/>
  <c r="R7" s="1"/>
  <c r="F23" i="30"/>
  <c r="F12" i="21"/>
  <c r="K46"/>
  <c r="K42"/>
  <c r="D27" i="23" l="1"/>
  <c r="D44" s="1"/>
  <c r="D46" s="1"/>
  <c r="C27" i="1" s="1"/>
  <c r="J42" i="18"/>
  <c r="C10" i="1"/>
  <c r="I27" i="23"/>
  <c r="J27" s="1"/>
  <c r="F27"/>
  <c r="L10" i="28" s="1"/>
  <c r="L27" s="1"/>
  <c r="L29" s="1"/>
  <c r="I10" i="24"/>
  <c r="M10" s="1"/>
  <c r="I10" i="28"/>
  <c r="I27" s="1"/>
  <c r="I29" s="1"/>
  <c r="D4" i="18"/>
  <c r="D2" s="1"/>
  <c r="D48" s="1"/>
  <c r="H6" i="11"/>
  <c r="R6" s="1"/>
  <c r="C4" i="18"/>
  <c r="C2" s="1"/>
  <c r="I21" i="23"/>
  <c r="C48" i="18" l="1"/>
  <c r="B21" i="1" s="1"/>
  <c r="B23" s="1"/>
  <c r="G27" i="23"/>
  <c r="F34" i="21" s="1"/>
  <c r="F35" s="1"/>
  <c r="I27" i="24"/>
  <c r="C21" i="1"/>
  <c r="F44" i="23"/>
  <c r="G44" s="1"/>
  <c r="F34" i="28" s="1"/>
  <c r="C44" i="23"/>
  <c r="L27" i="24" s="1"/>
  <c r="J10" i="28"/>
  <c r="J27" s="1"/>
  <c r="J29" s="1"/>
  <c r="I44" i="23"/>
  <c r="I34" i="30" s="1"/>
  <c r="J10" i="24"/>
  <c r="G10" s="1"/>
  <c r="L10" i="30"/>
  <c r="L29" s="1"/>
  <c r="I10"/>
  <c r="I27" s="1"/>
  <c r="I29" s="1"/>
  <c r="M29" i="28"/>
  <c r="M10"/>
  <c r="H5" i="11"/>
  <c r="R5" s="1"/>
  <c r="L23" i="29"/>
  <c r="I23"/>
  <c r="I26" i="23"/>
  <c r="J21"/>
  <c r="J26" s="1"/>
  <c r="F33" i="29" s="1"/>
  <c r="K3" i="26" l="1"/>
  <c r="L3" s="1"/>
  <c r="M27" i="24"/>
  <c r="M3" i="25"/>
  <c r="N3" s="1"/>
  <c r="F50" i="23"/>
  <c r="C59"/>
  <c r="C64" s="1"/>
  <c r="I34" i="28"/>
  <c r="I35" s="1"/>
  <c r="I32" i="24"/>
  <c r="I33" s="1"/>
  <c r="J27"/>
  <c r="J41" i="21" s="1"/>
  <c r="J46" s="1"/>
  <c r="F32" i="24"/>
  <c r="G10" i="28"/>
  <c r="F10" s="1"/>
  <c r="F27" s="1"/>
  <c r="F29" s="1"/>
  <c r="M10" i="30"/>
  <c r="J10"/>
  <c r="G10" s="1"/>
  <c r="F10" s="1"/>
  <c r="D59" i="23"/>
  <c r="D64" s="1"/>
  <c r="J44"/>
  <c r="F34" i="30" s="1"/>
  <c r="I1385" i="11"/>
  <c r="I32" i="30"/>
  <c r="I36" i="29"/>
  <c r="M29" i="30"/>
  <c r="I35"/>
  <c r="F10" i="24"/>
  <c r="F27" s="1"/>
  <c r="G27"/>
  <c r="J2" i="18"/>
  <c r="I2" s="1"/>
  <c r="H1385" i="11"/>
  <c r="J23" i="29"/>
  <c r="I28"/>
  <c r="M23"/>
  <c r="L28"/>
  <c r="I46" i="23"/>
  <c r="D58"/>
  <c r="D63" s="1"/>
  <c r="I33" i="29"/>
  <c r="F899" i="17" l="1"/>
  <c r="F900" s="1"/>
  <c r="F2" s="1"/>
  <c r="C8" i="1"/>
  <c r="F905" i="17"/>
  <c r="B8" i="1"/>
  <c r="E899" i="17"/>
  <c r="E900" s="1"/>
  <c r="E2" s="1"/>
  <c r="E905"/>
  <c r="S1385" i="11"/>
  <c r="R1385"/>
  <c r="K20" i="26"/>
  <c r="L20" s="1"/>
  <c r="F47" i="23"/>
  <c r="I47"/>
  <c r="J47" s="1"/>
  <c r="G27" i="28"/>
  <c r="G29" s="1"/>
  <c r="J34" i="21"/>
  <c r="J36" s="1"/>
  <c r="J27" i="30"/>
  <c r="J29" s="1"/>
  <c r="J36" i="29" s="1"/>
  <c r="F27" i="30"/>
  <c r="F29" s="1"/>
  <c r="F35" s="1"/>
  <c r="G27"/>
  <c r="G29" s="1"/>
  <c r="F35" i="28"/>
  <c r="C35" s="1"/>
  <c r="F33" i="24"/>
  <c r="M20" i="25"/>
  <c r="C50" i="18" s="1"/>
  <c r="J46" i="23"/>
  <c r="D57"/>
  <c r="G23" i="29"/>
  <c r="J28"/>
  <c r="I34"/>
  <c r="I37"/>
  <c r="M28"/>
  <c r="C12" i="1" l="1"/>
  <c r="B18"/>
  <c r="J48" i="23"/>
  <c r="I48"/>
  <c r="D49" i="18"/>
  <c r="G57" i="23"/>
  <c r="G58" s="1"/>
  <c r="G47"/>
  <c r="C49" i="18"/>
  <c r="F57" i="23"/>
  <c r="G28" i="29"/>
  <c r="G42" s="1"/>
  <c r="F42" s="1"/>
  <c r="F23"/>
  <c r="F28" s="1"/>
  <c r="F34" s="1"/>
  <c r="J42"/>
  <c r="J37"/>
  <c r="D62" i="23"/>
  <c r="I42" i="29" l="1"/>
  <c r="I46" s="1"/>
  <c r="J46"/>
  <c r="D29" i="26" l="1"/>
  <c r="E29"/>
  <c r="E32" s="1"/>
  <c r="E26"/>
  <c r="E24" l="1"/>
  <c r="E34" s="1"/>
  <c r="F26"/>
  <c r="D24"/>
  <c r="E27"/>
  <c r="J26" l="1"/>
  <c r="J24" s="1"/>
  <c r="J34" s="1"/>
  <c r="F24"/>
  <c r="F34" s="1"/>
  <c r="D34"/>
  <c r="F20" l="1"/>
  <c r="M3"/>
  <c r="N3" s="1"/>
  <c r="N20" s="1"/>
  <c r="K34" i="27"/>
  <c r="K35" s="1"/>
  <c r="J38" i="29"/>
  <c r="J39" s="1"/>
  <c r="C3" i="31"/>
  <c r="J34" i="27"/>
  <c r="D50" i="18" l="1"/>
  <c r="N20" i="25"/>
  <c r="C2" i="31"/>
  <c r="D6"/>
  <c r="D2"/>
  <c r="B6"/>
  <c r="O3" i="26"/>
  <c r="O20" s="1"/>
  <c r="M20"/>
  <c r="I34" i="27"/>
  <c r="I38" i="29"/>
  <c r="I39" s="1"/>
  <c r="D3" i="31"/>
  <c r="C29" i="1" l="1"/>
  <c r="C23"/>
  <c r="C18"/>
  <c r="B2" i="31"/>
  <c r="B5"/>
  <c r="C52" i="18" l="1"/>
  <c r="A9" i="33"/>
  <c r="A10" s="1"/>
  <c r="A11" s="1"/>
  <c r="A12" s="1"/>
  <c r="A13" s="1"/>
  <c r="B3" i="31" l="1"/>
  <c r="A22" i="33"/>
  <c r="A23" s="1"/>
  <c r="A24" s="1"/>
  <c r="A25" s="1"/>
  <c r="A26" s="1"/>
  <c r="A27" s="1"/>
  <c r="A28" s="1"/>
  <c r="A29" s="1"/>
  <c r="A30" s="1"/>
  <c r="A31" s="1"/>
  <c r="A32" s="1"/>
  <c r="A14"/>
  <c r="D52" i="18" l="1"/>
  <c r="J47" l="1"/>
  <c r="C47" i="23" l="1"/>
  <c r="I47" i="18"/>
  <c r="D47" i="23" l="1"/>
  <c r="D48" s="1"/>
  <c r="E57"/>
  <c r="E58" s="1"/>
  <c r="C13" l="1"/>
  <c r="C73" s="1"/>
  <c r="C78" s="1"/>
  <c r="L15" i="21" l="1"/>
  <c r="I15"/>
  <c r="C26" i="23"/>
  <c r="F13"/>
  <c r="B10" i="1" l="1"/>
  <c r="J15" i="21"/>
  <c r="G15" s="1"/>
  <c r="I28"/>
  <c r="M15"/>
  <c r="I31"/>
  <c r="L28"/>
  <c r="C46" i="23"/>
  <c r="L26" s="1"/>
  <c r="L15" i="27"/>
  <c r="F26" i="23"/>
  <c r="G13"/>
  <c r="G26" s="1"/>
  <c r="I15" i="27"/>
  <c r="B31" i="1" l="1"/>
  <c r="B12"/>
  <c r="C48" i="23"/>
  <c r="B27" i="1"/>
  <c r="B29" s="1"/>
  <c r="M28" i="21"/>
  <c r="I32"/>
  <c r="I34"/>
  <c r="I36" s="1"/>
  <c r="I41"/>
  <c r="M26" i="23"/>
  <c r="F15" i="21"/>
  <c r="F28" s="1"/>
  <c r="G28"/>
  <c r="G41" s="1"/>
  <c r="G42" s="1"/>
  <c r="F46" i="23"/>
  <c r="L28" i="27"/>
  <c r="I30"/>
  <c r="F33"/>
  <c r="J30"/>
  <c r="J15"/>
  <c r="M15"/>
  <c r="I28"/>
  <c r="F32" i="21" l="1"/>
  <c r="F41"/>
  <c r="F42" s="1"/>
  <c r="I42"/>
  <c r="I46"/>
  <c r="C57" i="23"/>
  <c r="F48"/>
  <c r="G46"/>
  <c r="G48" s="1"/>
  <c r="J28" i="27"/>
  <c r="G15"/>
  <c r="I31"/>
  <c r="I33"/>
  <c r="I35" s="1"/>
  <c r="M28"/>
  <c r="G28" l="1"/>
  <c r="G41" s="1"/>
  <c r="F15"/>
  <c r="F28" s="1"/>
  <c r="F58" i="23"/>
  <c r="C62"/>
  <c r="J33" i="27"/>
  <c r="J35" s="1"/>
  <c r="J41"/>
  <c r="I41" l="1"/>
  <c r="I45" s="1"/>
  <c r="J45"/>
  <c r="F34"/>
  <c r="F41"/>
  <c r="H20" i="36" l="1"/>
  <c r="J10"/>
  <c r="J20" s="1"/>
  <c r="D16" i="1" s="1"/>
  <c r="D29" l="1"/>
  <c r="D23"/>
  <c r="D18"/>
  <c r="L10" i="36"/>
  <c r="L20" s="1"/>
</calcChain>
</file>

<file path=xl/sharedStrings.xml><?xml version="1.0" encoding="utf-8"?>
<sst xmlns="http://schemas.openxmlformats.org/spreadsheetml/2006/main" count="22238" uniqueCount="1283">
  <si>
    <t>Резервный фонд администрации города Ставрополя</t>
  </si>
  <si>
    <t>Благоустройство</t>
  </si>
  <si>
    <t>06</t>
  </si>
  <si>
    <t>Другие вопросы в области жилищно-коммунального хозяйства</t>
  </si>
  <si>
    <t>Администрация Ленинского района города Ставрополя</t>
  </si>
  <si>
    <t>617</t>
  </si>
  <si>
    <t>Жилищно-коммунальное хозяйство</t>
  </si>
  <si>
    <t>05</t>
  </si>
  <si>
    <t>Жилищное хозяйство</t>
  </si>
  <si>
    <t>Коммунальное хозяйство</t>
  </si>
  <si>
    <t>Администрация Октябрьского района города Ставрополя</t>
  </si>
  <si>
    <t>618</t>
  </si>
  <si>
    <t>Национальная безопасность и правоохранительная деятельность</t>
  </si>
  <si>
    <t>10</t>
  </si>
  <si>
    <t>Комитет градостроительства администрации города Ставрополя</t>
  </si>
  <si>
    <t>621</t>
  </si>
  <si>
    <t>Администрация Промышленного района города Ставрополя</t>
  </si>
  <si>
    <t>619</t>
  </si>
  <si>
    <t>Комитет городского хозяйства администрации города Ставрополя</t>
  </si>
  <si>
    <t>620</t>
  </si>
  <si>
    <t>Бюджетные инвестиции</t>
  </si>
  <si>
    <t xml:space="preserve">Р ПР  </t>
  </si>
  <si>
    <t>Наименование</t>
  </si>
  <si>
    <t xml:space="preserve">01     </t>
  </si>
  <si>
    <t xml:space="preserve">01     02     </t>
  </si>
  <si>
    <t xml:space="preserve">01     03     </t>
  </si>
  <si>
    <t xml:space="preserve">01     04     </t>
  </si>
  <si>
    <t xml:space="preserve">01     05     </t>
  </si>
  <si>
    <t xml:space="preserve">01     06     </t>
  </si>
  <si>
    <t xml:space="preserve">03     </t>
  </si>
  <si>
    <t>Охрана семьи и детства</t>
  </si>
  <si>
    <t>РЗ</t>
  </si>
  <si>
    <t>Другие вопросы в области образования</t>
  </si>
  <si>
    <t>09</t>
  </si>
  <si>
    <t>607</t>
  </si>
  <si>
    <t>Культура</t>
  </si>
  <si>
    <t>Депутаты представительного органа муниципального образования</t>
  </si>
  <si>
    <t>602</t>
  </si>
  <si>
    <t xml:space="preserve">Другие вопросы в области национальной экономики </t>
  </si>
  <si>
    <t>должно быть</t>
  </si>
  <si>
    <t>разница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</si>
  <si>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</si>
  <si>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</si>
  <si>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</si>
  <si>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</si>
  <si>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04     </t>
  </si>
  <si>
    <t xml:space="preserve">04     12     </t>
  </si>
  <si>
    <t xml:space="preserve">05     </t>
  </si>
  <si>
    <t xml:space="preserve">05     01     </t>
  </si>
  <si>
    <t xml:space="preserve">05     02     </t>
  </si>
  <si>
    <t xml:space="preserve">05     03     </t>
  </si>
  <si>
    <t xml:space="preserve">05     05     </t>
  </si>
  <si>
    <t xml:space="preserve">07     </t>
  </si>
  <si>
    <t xml:space="preserve">07     01     </t>
  </si>
  <si>
    <t xml:space="preserve">07     02     </t>
  </si>
  <si>
    <t xml:space="preserve">07     07     </t>
  </si>
  <si>
    <t xml:space="preserve">07     09     </t>
  </si>
  <si>
    <t xml:space="preserve">08     </t>
  </si>
  <si>
    <t xml:space="preserve">08     01     </t>
  </si>
  <si>
    <t xml:space="preserve">10     </t>
  </si>
  <si>
    <t xml:space="preserve">10     03     </t>
  </si>
  <si>
    <t xml:space="preserve">10     04     </t>
  </si>
  <si>
    <t xml:space="preserve">10     06     </t>
  </si>
  <si>
    <t>РБС</t>
  </si>
  <si>
    <t>Получилось в проекте решения</t>
  </si>
  <si>
    <t>Отклонение</t>
  </si>
  <si>
    <t>ВСЕГО:</t>
  </si>
  <si>
    <t>Национальная экономика</t>
  </si>
  <si>
    <t>Другие вопросы в области социальной политики</t>
  </si>
  <si>
    <t>04</t>
  </si>
  <si>
    <t>Другие общегосударственные вопросы</t>
  </si>
  <si>
    <t>Физическая культура и спорт</t>
  </si>
  <si>
    <t>12</t>
  </si>
  <si>
    <t>ИТОГО:</t>
  </si>
  <si>
    <t>Наименование показателя</t>
  </si>
  <si>
    <t>Мин.</t>
  </si>
  <si>
    <t>ПР</t>
  </si>
  <si>
    <t>ЦСР</t>
  </si>
  <si>
    <t>ВР</t>
  </si>
  <si>
    <t xml:space="preserve">Ставропольская городская Дума </t>
  </si>
  <si>
    <t>600</t>
  </si>
  <si>
    <t>Социальная политика</t>
  </si>
  <si>
    <t>08</t>
  </si>
  <si>
    <t>00</t>
  </si>
  <si>
    <t>Периодическая печать и издательства</t>
  </si>
  <si>
    <t>03</t>
  </si>
  <si>
    <t>Администрация города Ставрополя</t>
  </si>
  <si>
    <t>601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</si>
  <si>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</si>
  <si>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</si>
  <si>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000</t>
  </si>
  <si>
    <t>отклонение</t>
  </si>
  <si>
    <t>Резервные фонды</t>
  </si>
  <si>
    <t>Комитет по управлению муниципальным имуществом города Ставрополя</t>
  </si>
  <si>
    <t>Общее образование</t>
  </si>
  <si>
    <t>609</t>
  </si>
  <si>
    <t>Социальное обеспечение населения</t>
  </si>
  <si>
    <t>Общегосударственные вопросы</t>
  </si>
  <si>
    <t>01</t>
  </si>
  <si>
    <t>02</t>
  </si>
  <si>
    <t>611</t>
  </si>
  <si>
    <t>605</t>
  </si>
  <si>
    <t>606</t>
  </si>
  <si>
    <t>Образование</t>
  </si>
  <si>
    <t>07</t>
  </si>
  <si>
    <t>Дошкольное образование</t>
  </si>
  <si>
    <t>Другие вопросы в области национальной экономики</t>
  </si>
  <si>
    <t>Комитет финансов и бюджета администрации города Ставрополя</t>
  </si>
  <si>
    <t>604</t>
  </si>
  <si>
    <t>Лесное хозяйство</t>
  </si>
  <si>
    <t xml:space="preserve">04     07     </t>
  </si>
  <si>
    <t>Средства массовой информации</t>
  </si>
  <si>
    <t>11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</si>
  <si>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</si>
  <si>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</si>
  <si>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</si>
  <si>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</si>
  <si>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 xml:space="preserve">11     01     </t>
  </si>
  <si>
    <t xml:space="preserve">11     02    </t>
  </si>
  <si>
    <t>11     03</t>
  </si>
  <si>
    <t xml:space="preserve">11     05     </t>
  </si>
  <si>
    <t xml:space="preserve">12     02    </t>
  </si>
  <si>
    <t xml:space="preserve">08     04     </t>
  </si>
  <si>
    <t>Культура, кинематография</t>
  </si>
  <si>
    <t>13</t>
  </si>
  <si>
    <t>Дорожное хозяйство (дорожные фонды)</t>
  </si>
  <si>
    <t xml:space="preserve">01     11     </t>
  </si>
  <si>
    <t>01     13</t>
  </si>
  <si>
    <t xml:space="preserve">04     09    </t>
  </si>
  <si>
    <t xml:space="preserve">13     01     </t>
  </si>
  <si>
    <t>Стипендии</t>
  </si>
  <si>
    <t>Премии и гранты</t>
  </si>
  <si>
    <t>Субсидии бюджетным учреждениям</t>
  </si>
  <si>
    <t>Субсидии автономным учреждениям</t>
  </si>
  <si>
    <t>Обслуживание муниципального долга</t>
  </si>
  <si>
    <t>Обслуживание муниципального долга города Ставрополя</t>
  </si>
  <si>
    <t>Исполнение судебных актов</t>
  </si>
  <si>
    <t>Уплата налогов, сборов и иных платежей</t>
  </si>
  <si>
    <t>Резервные средства</t>
  </si>
  <si>
    <t>810</t>
  </si>
  <si>
    <t>870</t>
  </si>
  <si>
    <t>410</t>
  </si>
  <si>
    <t>630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</si>
  <si>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</si>
  <si>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</si>
  <si>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</si>
  <si>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</si>
  <si>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</si>
  <si>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</si>
  <si>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администрации города Ставрополя</t>
  </si>
  <si>
    <t>Непрограммные расходы в рамках обеспечения деятельности администрации города Ставрополя</t>
  </si>
  <si>
    <t>Расходы на обеспечение функций органов местного самоуправления города Ставрополя</t>
  </si>
  <si>
    <t>120</t>
  </si>
  <si>
    <t>240</t>
  </si>
  <si>
    <t>320</t>
  </si>
  <si>
    <t>850</t>
  </si>
  <si>
    <t>Расходы на оказание информационных услуг средствами массовой информации</t>
  </si>
  <si>
    <t>110</t>
  </si>
  <si>
    <t>Расходы на реализацию мероприятий, направленных на повышение уровня безопасности жизнедеятельности города Ставрополя</t>
  </si>
  <si>
    <t>Обеспечение деятельности Ставропольской городской Думы</t>
  </si>
  <si>
    <t>Непрограммные расходы в рамках обеспечения деятельности Ставропольской городской Думы</t>
  </si>
  <si>
    <t>Расходы на выплаты по оплате труда работников органов местного самоуправления города Ставрополя</t>
  </si>
  <si>
    <t>Контрольно-счетная палата города Ставрополя</t>
  </si>
  <si>
    <t>Обеспечение деятельности комитета финансов и бюджета администрации города Ставрополя</t>
  </si>
  <si>
    <t>Непрограммные расходы в рамках обеспечения деятельности комитета финансов и бюджета администрации города Ставрополя</t>
  </si>
  <si>
    <t>Расходы на выплаты на основании исполнительных листов судебных органов</t>
  </si>
  <si>
    <t>830</t>
  </si>
  <si>
    <t>730</t>
  </si>
  <si>
    <t>Расходы на реализацию мероприятий, направленных на профилактику правонарушений в городе Ставрополе</t>
  </si>
  <si>
    <t>310</t>
  </si>
  <si>
    <t>Обеспечение первичных мер пожарной безопасности в границах города Ставрополя</t>
  </si>
  <si>
    <t>610</t>
  </si>
  <si>
    <t>Подпрограмма «Развитие культуры города Ставрополя»</t>
  </si>
  <si>
    <t>Обеспечение деятельности комитета городского хозяйства администрации города Ставрополя</t>
  </si>
  <si>
    <t>Непрограммные расходы в рамках обеспечения деятельности комитета городского хозяйства администрации города Ставрополя</t>
  </si>
  <si>
    <t>Подпрограмма «Доступная среда»</t>
  </si>
  <si>
    <t>Обеспечение деятельности администрации Ленинского района города Ставрополя</t>
  </si>
  <si>
    <t>Непрограммные расходы в рамках обеспечения деятельности администрации Ленинского района города Ставрополя</t>
  </si>
  <si>
    <t>Расходы на проведение капитального ремонта муниципального жилищного фонда</t>
  </si>
  <si>
    <t>Обеспечение деятельности администрации Октябрьского района города Ставрополя</t>
  </si>
  <si>
    <t>Непрограммные расходы в рамках обеспечения деятельности администрации Октябрьского района города Ставрополя</t>
  </si>
  <si>
    <t>Обеспечение деятельности администрации Промышленного района города Ставрополя</t>
  </si>
  <si>
    <t>Непрограммные расходы в рамках обеспечения деятельности администрации Промышленного района города Ставрополя</t>
  </si>
  <si>
    <t>Подпрограмма «Развитие малого и среднего предпринимательства в городе Ставрополе»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</si>
  <si>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</si>
  <si>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Подпрограмма «Развитие жилищно-коммунального хозяйства на территории города Ставрополя»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</si>
  <si>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</si>
  <si>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Расходы на прочие мероприятия по благоустройству территории города Ставрополя</t>
  </si>
  <si>
    <t>Расходы на проведение мероприятий по озеленению территории города Ставрополя</t>
  </si>
  <si>
    <t>Расходы на проведение культурно-массовых мероприятий в городе Ставрополе</t>
  </si>
  <si>
    <t>Расходы на реализацию мероприятий, направленных на развитие физической культуры и массового спорта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</si>
  <si>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</si>
  <si>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</si>
  <si>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 xml:space="preserve">Расходы на содержание объектов муниципальной казны города Ставрополя в части нежилых помещений </t>
  </si>
  <si>
    <t>Расходы на содержание объектов муниципальной казны города Ставрополя в части жилых помещений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</si>
  <si>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</si>
  <si>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</si>
  <si>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Расходы на развитие и обеспечение функционирования информационного общества в городе Ставрополе</t>
  </si>
  <si>
    <t>Расходы на официальное опубликование муниципальных правовых актов города Ставрополя в газете «Вечерний Ставрополь»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</si>
  <si>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</si>
  <si>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Расходы, предусмотренные на иные цели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</si>
  <si>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</si>
  <si>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</si>
  <si>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соц. Сфера</t>
  </si>
  <si>
    <t>Комитет труда и социальной защиты населения администрации города Ставрополя</t>
  </si>
  <si>
    <t>Комитет образования администрации города Ставрополя</t>
  </si>
  <si>
    <t>Комитет по делам гражданской обороны и чрезвычайным ситуациям администрации города Ставрополя</t>
  </si>
  <si>
    <t>350</t>
  </si>
  <si>
    <t>340</t>
  </si>
  <si>
    <t>Обеспечение деятельности комитета образования администрации города Ставрополя</t>
  </si>
  <si>
    <t>Непрограммные расходы в рамках обеспечения деятельности комитета образования администрации города Ставрополя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</si>
  <si>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</si>
  <si>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Обеспечение деятельности комитета труда и социальной защиты населения администрации города Ставрополя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</si>
  <si>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</si>
  <si>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</si>
  <si>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.2014.</t>
  </si>
  <si>
    <t xml:space="preserve">Бюджетные инвестиции 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</si>
  <si>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</si>
  <si>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 xml:space="preserve"> (тыс. руб.)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</si>
  <si>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</si>
  <si>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ГРБС</t>
  </si>
  <si>
    <t>Обеспечение деятельности комитета градостроительства администрации города Ставрополя</t>
  </si>
  <si>
    <t>Итого:</t>
  </si>
  <si>
    <t>00 0 00 00000</t>
  </si>
  <si>
    <t>70 0 00 00000</t>
  </si>
  <si>
    <t>70 2 00 00000</t>
  </si>
  <si>
    <t>70 2 00 10020</t>
  </si>
  <si>
    <t>70 1 00 00000</t>
  </si>
  <si>
    <t>70 1 00 10010</t>
  </si>
  <si>
    <t>70 1 00 10020</t>
  </si>
  <si>
    <t>70 3 00 00000</t>
  </si>
  <si>
    <t>70 3 00 10020</t>
  </si>
  <si>
    <t>70 4 00 00000</t>
  </si>
  <si>
    <t>71 0 00 00000</t>
  </si>
  <si>
    <t>71 1 00 00000</t>
  </si>
  <si>
    <t>71 1 00 10010</t>
  </si>
  <si>
    <t>71 1 00 10020</t>
  </si>
  <si>
    <t>71 1 00 76630</t>
  </si>
  <si>
    <t>71 1 00 76930</t>
  </si>
  <si>
    <t>71 2 00 00000</t>
  </si>
  <si>
    <t>71 2 00 10020</t>
  </si>
  <si>
    <t>12 0 00 00000</t>
  </si>
  <si>
    <t>12 2 00 00000</t>
  </si>
  <si>
    <t>12 2 03 00000</t>
  </si>
  <si>
    <t>12 2 03 20040</t>
  </si>
  <si>
    <t>12 2 03 20090</t>
  </si>
  <si>
    <t>13 0 00 00000</t>
  </si>
  <si>
    <t>14 0 00 00000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</si>
  <si>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</si>
  <si>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14 1 01 20630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</si>
  <si>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</si>
  <si>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14 1 02 20630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</si>
  <si>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</si>
  <si>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</si>
  <si>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Расходы на обеспечение деятельности (оказание услуг) муниципальных учреждений</t>
  </si>
  <si>
    <t>15 0 00 00000</t>
  </si>
  <si>
    <t>15 1 00 00000</t>
  </si>
  <si>
    <t>15 2 00 00000</t>
  </si>
  <si>
    <t>15 2 03 00000</t>
  </si>
  <si>
    <t>15 3 00 00000</t>
  </si>
  <si>
    <t>15 3 03 00000</t>
  </si>
  <si>
    <t>18 0 00 00000</t>
  </si>
  <si>
    <t>18 Б 00 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</si>
  <si>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</si>
  <si>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</si>
  <si>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18 Б 01 60080</t>
  </si>
  <si>
    <t>71 1 00 11010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</si>
  <si>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</si>
  <si>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12 1 00 00000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</si>
  <si>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</si>
  <si>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</si>
  <si>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</si>
  <si>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</si>
  <si>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</si>
  <si>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12 1 02 20480</t>
  </si>
  <si>
    <t>12 1 03 00000</t>
  </si>
  <si>
    <t>12 1 03 20480</t>
  </si>
  <si>
    <t>12 2 02 00000</t>
  </si>
  <si>
    <t>12 2 02 20640</t>
  </si>
  <si>
    <t>07 0 00 00000</t>
  </si>
  <si>
    <t>07 1 00 00000</t>
  </si>
  <si>
    <t>07 1 01 00000</t>
  </si>
  <si>
    <t>11 0 00 00000</t>
  </si>
  <si>
    <t>11 Б 00 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</si>
  <si>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</si>
  <si>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</si>
  <si>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</si>
  <si>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</si>
  <si>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11 Б 03 00000</t>
  </si>
  <si>
    <t>72 0 00 00000</t>
  </si>
  <si>
    <t>72 1 00 00000</t>
  </si>
  <si>
    <t>72 1 00 10010</t>
  </si>
  <si>
    <t>72 1 00 10020</t>
  </si>
  <si>
    <t>02 0 00 00000</t>
  </si>
  <si>
    <t>02 Б 00 00000</t>
  </si>
  <si>
    <t>02 Б 02 00000</t>
  </si>
  <si>
    <t>04 0 00 00000</t>
  </si>
  <si>
    <t>04 2 00 00000</t>
  </si>
  <si>
    <t>04 2 02 00000</t>
  </si>
  <si>
    <t>73 0 00 00000</t>
  </si>
  <si>
    <t>73 1 00 00000</t>
  </si>
  <si>
    <t>73 1 00 10010</t>
  </si>
  <si>
    <t>73 1 00 10020</t>
  </si>
  <si>
    <t>Резервный фонд</t>
  </si>
  <si>
    <t xml:space="preserve">000 </t>
  </si>
  <si>
    <t>10 0 00 00000</t>
  </si>
  <si>
    <t>10 Б 00 00000</t>
  </si>
  <si>
    <t>07 1 01 20060</t>
  </si>
  <si>
    <t>15 3 01 00000</t>
  </si>
  <si>
    <t>74 0 00 00000</t>
  </si>
  <si>
    <t>74 1 00 00000</t>
  </si>
  <si>
    <t>74 1 00 10010</t>
  </si>
  <si>
    <t>74 1 00 10020</t>
  </si>
  <si>
    <t>03 0 00 00000</t>
  </si>
  <si>
    <t>03 2 00 00000</t>
  </si>
  <si>
    <t>Предоставление льгот на бытовые услуги по помывке в общем отделении бань отдельным категориям граждан</t>
  </si>
  <si>
    <t>01 0 00 00000</t>
  </si>
  <si>
    <t>01 1 00 00000</t>
  </si>
  <si>
    <t>01 1 01 00000</t>
  </si>
  <si>
    <t>01 1 01 11010</t>
  </si>
  <si>
    <t>01 1 01 77170</t>
  </si>
  <si>
    <t>01 1 06 00000</t>
  </si>
  <si>
    <t>01 1 06 11010</t>
  </si>
  <si>
    <t>16 0 00 00000</t>
  </si>
  <si>
    <t>16 2 00 00000</t>
  </si>
  <si>
    <t>16 2 01 00000</t>
  </si>
  <si>
    <t>17 0 00 00000</t>
  </si>
  <si>
    <t>17 Б 00 00000</t>
  </si>
  <si>
    <t>Основное мероприятие «Энергосбережение и энергоэффективность в бюджетном секторе»</t>
  </si>
  <si>
    <t>17 Б 01 00000</t>
  </si>
  <si>
    <t>17 Б 01 20490</t>
  </si>
  <si>
    <t>01 1 02 00000</t>
  </si>
  <si>
    <t>01 1 02 11010</t>
  </si>
  <si>
    <t>01 1 02 77160</t>
  </si>
  <si>
    <t>01 1 03 00000</t>
  </si>
  <si>
    <t>01 1 03 11010</t>
  </si>
  <si>
    <t>01 1 05 00000</t>
  </si>
  <si>
    <t>75 0 00 00000</t>
  </si>
  <si>
    <t>75 1 00 00000</t>
  </si>
  <si>
    <t>75 1 00 10010</t>
  </si>
  <si>
    <t>75 1 00 10020</t>
  </si>
  <si>
    <t>Расходы на выплаты персоналу  государственных (муниципальных) органов</t>
  </si>
  <si>
    <t>75 1 00 76200</t>
  </si>
  <si>
    <t>01 1 01 76140</t>
  </si>
  <si>
    <t>01 1 07 00000</t>
  </si>
  <si>
    <t>76 0 00 00000</t>
  </si>
  <si>
    <t>76 2 00 00000</t>
  </si>
  <si>
    <t>07 2 00 00000</t>
  </si>
  <si>
    <t>07 2 01 00000</t>
  </si>
  <si>
    <t>07 2 01 11010</t>
  </si>
  <si>
    <t>07 2 06 00000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</si>
  <si>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</si>
  <si>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</si>
  <si>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</si>
  <si>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</si>
  <si>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</si>
  <si>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</si>
  <si>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</si>
  <si>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</si>
  <si>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</si>
  <si>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</si>
  <si>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</si>
  <si>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76 1 00 00000</t>
  </si>
  <si>
    <t>76 1 00 10010</t>
  </si>
  <si>
    <t>76 1 00 10020</t>
  </si>
  <si>
    <t xml:space="preserve">Подпрограмма «Осуществление отдельных государственных полномочий в области социальной поддержки отдельных категорий граждан» 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</si>
  <si>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</si>
  <si>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</si>
  <si>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</si>
  <si>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03 1 01 52200</t>
  </si>
  <si>
    <t>03 1 01 52500</t>
  </si>
  <si>
    <t>03 1 01 76240</t>
  </si>
  <si>
    <t>Основное мероприятие «Предоставление мер социальной поддержки семьям и детям»</t>
  </si>
  <si>
    <t>03 1 02 00000</t>
  </si>
  <si>
    <t>03 1 02 76260</t>
  </si>
  <si>
    <t>03 1 02 76270</t>
  </si>
  <si>
    <t>03 2 01 00000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</si>
  <si>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</si>
  <si>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</si>
  <si>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</si>
  <si>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</si>
  <si>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</si>
  <si>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</si>
  <si>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</si>
  <si>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</si>
  <si>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</si>
  <si>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</si>
  <si>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</si>
  <si>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</si>
  <si>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</si>
  <si>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</si>
  <si>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</si>
  <si>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03 2 01 80210</t>
  </si>
  <si>
    <t>03 3 00 00000</t>
  </si>
  <si>
    <t>03 3 01 00000</t>
  </si>
  <si>
    <t>77 1 00 00000</t>
  </si>
  <si>
    <t>77 1 00 10010</t>
  </si>
  <si>
    <t>77 1 00 10020</t>
  </si>
  <si>
    <t>77 1 00 76100</t>
  </si>
  <si>
    <t>77 1 00 76210</t>
  </si>
  <si>
    <t>08 0 00 00000</t>
  </si>
  <si>
    <t>08 1 00 00000</t>
  </si>
  <si>
    <t>08 1 01 00000</t>
  </si>
  <si>
    <t>08 1 01 11010</t>
  </si>
  <si>
    <t>04 3 00 00000</t>
  </si>
  <si>
    <t>Основное мероприятие «Благоустройство территории города Ставрополя»</t>
  </si>
  <si>
    <t>04 3 01 00000</t>
  </si>
  <si>
    <t>09 0 00 00000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</si>
  <si>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</si>
  <si>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</si>
  <si>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</si>
  <si>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</si>
  <si>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</si>
  <si>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20460</t>
  </si>
  <si>
    <t>09 Б 04 00000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</si>
  <si>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</si>
  <si>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</si>
  <si>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</si>
  <si>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08 2 00 00000</t>
  </si>
  <si>
    <t>08 2 01 00000</t>
  </si>
  <si>
    <t>08 2 01 20420</t>
  </si>
  <si>
    <t>78 0 00 00000</t>
  </si>
  <si>
    <t>78 1 00 00000</t>
  </si>
  <si>
    <t>78 1 00 10010</t>
  </si>
  <si>
    <t>78 1 00 10020</t>
  </si>
  <si>
    <t>80 0 00 00000</t>
  </si>
  <si>
    <t>80 1 00 00000</t>
  </si>
  <si>
    <t>80 1 00 10010</t>
  </si>
  <si>
    <t>80 1 00 10020</t>
  </si>
  <si>
    <t>80 1 00 76200</t>
  </si>
  <si>
    <t>80 1 00 76360</t>
  </si>
  <si>
    <t>04 2 02 20130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</si>
  <si>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</si>
  <si>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</si>
  <si>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</si>
  <si>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</si>
  <si>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</si>
  <si>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04 1 01 20190</t>
  </si>
  <si>
    <t xml:space="preserve">Культура, кинематография </t>
  </si>
  <si>
    <t>07 1 01 21130</t>
  </si>
  <si>
    <t>81 0 00 00000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</si>
  <si>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</si>
  <si>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</si>
  <si>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</si>
  <si>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</si>
  <si>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</si>
  <si>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</si>
  <si>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83 0 00 00000</t>
  </si>
  <si>
    <t>83 1 00 00000</t>
  </si>
  <si>
    <t>83 1 00 20050</t>
  </si>
  <si>
    <t>04 3 01 11010</t>
  </si>
  <si>
    <t>Расходы на прочие мероприятия  в области дорожного хозяйства</t>
  </si>
  <si>
    <t>04 2 02 20830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</si>
  <si>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</si>
  <si>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06 0 00 00000</t>
  </si>
  <si>
    <t>04 1 02 00000</t>
  </si>
  <si>
    <t>04 1 02 20220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</si>
  <si>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</si>
  <si>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</si>
  <si>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 Б 02 20490</t>
  </si>
  <si>
    <t>83 1 00 10010</t>
  </si>
  <si>
    <t>83 1 00 10020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</si>
  <si>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</si>
  <si>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</si>
  <si>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Основное мероприятие «Предоставление молодым семьям социальных выплат»</t>
  </si>
  <si>
    <t>624</t>
  </si>
  <si>
    <t>15 1 01 00000</t>
  </si>
  <si>
    <t>15 1 01 20350</t>
  </si>
  <si>
    <t>15 1 02 00000</t>
  </si>
  <si>
    <t>15 3 02 00000</t>
  </si>
  <si>
    <t>16 1 00 00000</t>
  </si>
  <si>
    <t>16 1 01 00000</t>
  </si>
  <si>
    <t>16 1 01 20120</t>
  </si>
  <si>
    <t>16 1 02 00000</t>
  </si>
  <si>
    <t>16 2 01 20540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</si>
  <si>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</si>
  <si>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</si>
  <si>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</si>
  <si>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85 1 00 10010</t>
  </si>
  <si>
    <t>85 1 00 10020</t>
  </si>
  <si>
    <t>3</t>
  </si>
  <si>
    <t>4</t>
  </si>
  <si>
    <t>5</t>
  </si>
  <si>
    <t>6</t>
  </si>
  <si>
    <t>7</t>
  </si>
  <si>
    <t>82 0 00 00000</t>
  </si>
  <si>
    <t>82 1 00 00000</t>
  </si>
  <si>
    <t>82 1 00 10010</t>
  </si>
  <si>
    <t>82 1 00 10020</t>
  </si>
  <si>
    <t>82 1 00 76200</t>
  </si>
  <si>
    <t>82 1 00 76360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</si>
  <si>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</si>
  <si>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</si>
  <si>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01 2 00 00000</t>
  </si>
  <si>
    <t>01 2 01 00000</t>
  </si>
  <si>
    <t>01 2 01 40010</t>
  </si>
  <si>
    <t>05 0 00 00000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</si>
  <si>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</si>
  <si>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09 Б 02 00000</t>
  </si>
  <si>
    <t>15 1 02 20350</t>
  </si>
  <si>
    <t>77 0 00 00000</t>
  </si>
  <si>
    <t>84 0 00 00000</t>
  </si>
  <si>
    <t>84 1 00 00000</t>
  </si>
  <si>
    <t>84 1 00 10010</t>
  </si>
  <si>
    <t>84 1 00 10020</t>
  </si>
  <si>
    <t>84 2 00 00000</t>
  </si>
  <si>
    <t>84 2 00 21100</t>
  </si>
  <si>
    <t>84 2 00 21210</t>
  </si>
  <si>
    <t>Итого</t>
  </si>
  <si>
    <t>Непрограммные расходы в рамках обеспечения деятельности комитета градостроительства администрации города Ставрополя</t>
  </si>
  <si>
    <t>Иные закупки товаров, работ и услуг для обеспечения
государственных (муниципальных) нужд</t>
  </si>
  <si>
    <t>Обеспечение деятельности комитета по управлению муниципальным имуществом города Ставрополя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</si>
  <si>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</si>
  <si>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 xml:space="preserve">Обеспечение деятельности комитета градостроительства администрации города Ставрополя </t>
  </si>
  <si>
    <t xml:space="preserve">Непрограммные расходы в рамках обеспечения деятельности комитета градостроительства администрации города Ставрополя </t>
  </si>
  <si>
    <t>Основное мероприятие «Защита прав и законных интересов детей-сирот и детей, оставшихся без попечения родителей»</t>
  </si>
  <si>
    <t>71 2 00 10010</t>
  </si>
  <si>
    <t>Основное мероприятие «Финансовая поддержка субъектов малого и среднего предпринимательства в городе Ставрополе»</t>
  </si>
  <si>
    <t>Субсидии на поддержку социально ориентированных некоммерческих организаций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</si>
  <si>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</si>
  <si>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Поощрение муниципального служащего в связи с выходом на страховую пенсию по старости (инвалидности)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</si>
  <si>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</si>
  <si>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</si>
  <si>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</si>
  <si>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Основное мероприятие «Организация предоставления общедоступного и бесплатного дошкольного образования»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</si>
  <si>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</si>
  <si>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16 2 02 00000</t>
  </si>
  <si>
    <t>16 2 02 20550</t>
  </si>
  <si>
    <t>Основное мероприятие «Профилактика зависимости от наркотических и других психоактивных веществ среди детей и молодежи»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</si>
  <si>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</si>
  <si>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08 2 04 00000</t>
  </si>
  <si>
    <t>08 2 04 60120</t>
  </si>
  <si>
    <t>Основное мероприятие «Профилактика зависимого (аддиктивного) поведения и пропаганда здорового образа жизни»</t>
  </si>
  <si>
    <t>Основное мероприятие «Профилактика правонарушений несовершеннолетних»</t>
  </si>
  <si>
    <t>Основное мероприятие «Реализация мероприятий, направленных на развитие физической культуры и массового спорта»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</si>
  <si>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</si>
  <si>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07 2 08 00000</t>
  </si>
  <si>
    <t>07 2 09 00000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</si>
  <si>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</si>
  <si>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</si>
  <si>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70 2 00 10010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</si>
  <si>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</si>
  <si>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</si>
  <si>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01 1 05 20240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</si>
  <si>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</si>
  <si>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03 2 03 00000</t>
  </si>
  <si>
    <t>Основное мероприятие «Предоставление дополнительных мер социальной поддержки отдельным категориям граждан»</t>
  </si>
  <si>
    <t>03 2 04 00000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</si>
  <si>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</si>
  <si>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03 2 03 80020</t>
  </si>
  <si>
    <t>03 2 04 80220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</si>
  <si>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</si>
  <si>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t>
  </si>
  <si>
    <t>70 3 00 10010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</si>
  <si>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</si>
  <si>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04 3 04 00000</t>
  </si>
  <si>
    <t>04 3 04 20300</t>
  </si>
  <si>
    <t>04 3 04 20780</t>
  </si>
  <si>
    <t>Основное мероприятие «Осуществление деятельности по использованию, охране, защите и воспроизводству городских лесов»</t>
  </si>
  <si>
    <t>04 2 03 00000</t>
  </si>
  <si>
    <t>04 2 03 20570</t>
  </si>
  <si>
    <t>Основное мероприятие «Повышение безопасности дорожного движения на территории города Ставрополя»</t>
  </si>
  <si>
    <t>04 3 02 00000</t>
  </si>
  <si>
    <t>04 3 02 20290</t>
  </si>
  <si>
    <t>04 3 03 00000</t>
  </si>
  <si>
    <t>04 3 03 77150</t>
  </si>
  <si>
    <t>04 3 04 11010</t>
  </si>
  <si>
    <t>04 3 04 20280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</si>
  <si>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</si>
  <si>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Профессиональная подготовка, переподготовка и повышение квалификации</t>
  </si>
  <si>
    <t xml:space="preserve">07     05     </t>
  </si>
  <si>
    <t>01 1 08 00000</t>
  </si>
  <si>
    <t>01 1 08 11010</t>
  </si>
  <si>
    <t>Основное мероприятие «Выполнение противопожарных мероприятий в муниципальных учреждениях города Ставрополя»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</si>
  <si>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</si>
  <si>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Расходы на мероприятия в области коммунального хозяйства</t>
  </si>
  <si>
    <t>03 1 02 77190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</si>
  <si>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</si>
  <si>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Основное мероприятие «Обеспечение образовательной деятельности, оценки качества образования»</t>
  </si>
  <si>
    <t xml:space="preserve">Выплата ежемесячной денежной компенсации на каждого ребенка в возрасте до 18 лет многодетным семьям </t>
  </si>
  <si>
    <t>доходы</t>
  </si>
  <si>
    <t>расходы</t>
  </si>
  <si>
    <t>дефицит</t>
  </si>
  <si>
    <t>остатки на 01.01.2016</t>
  </si>
  <si>
    <t>остатки</t>
  </si>
  <si>
    <t>Другие вопросы в области культуры, кинематографии</t>
  </si>
  <si>
    <t xml:space="preserve">Другие вопросы в области культуры, кинематографии </t>
  </si>
  <si>
    <t>д.б.</t>
  </si>
  <si>
    <t>откл.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</si>
  <si>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</si>
  <si>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</si>
  <si>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</si>
  <si>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Приложение 2</t>
  </si>
  <si>
    <t>к пояснительной записке</t>
  </si>
  <si>
    <t>(тыс. рублей)</t>
  </si>
  <si>
    <t>в том числе за счет средств:</t>
  </si>
  <si>
    <t>Изменения</t>
  </si>
  <si>
    <t>федерального бюджета и бюджета Ставропольского края</t>
  </si>
  <si>
    <t>всего</t>
  </si>
  <si>
    <t>по средствам федерального бюджета и бюджета Ставропольского края</t>
  </si>
  <si>
    <t>2</t>
  </si>
  <si>
    <t>8</t>
  </si>
  <si>
    <t>9</t>
  </si>
  <si>
    <t>откл</t>
  </si>
  <si>
    <t>98 0 00 00000</t>
  </si>
  <si>
    <t>98 1 00 00000</t>
  </si>
  <si>
    <t>98 1 00 51200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</si>
  <si>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</si>
  <si>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Иные непрограммные мероприятия</t>
  </si>
  <si>
    <t>98 1 00 10050</t>
  </si>
  <si>
    <t>76 2 00 20250</t>
  </si>
  <si>
    <t>Комитет физической культуры и спорта администрации города Ставрополя</t>
  </si>
  <si>
    <t>Обеспечение деятельности комитета культуры и молодежной политики администрации города Ставрополя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</si>
  <si>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</si>
  <si>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</si>
  <si>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Обеспечение деятельности комитета физической культуры и спорта администрации города Ставрополя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</si>
  <si>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</si>
  <si>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Код</t>
  </si>
  <si>
    <t>14</t>
  </si>
  <si>
    <t>15</t>
  </si>
  <si>
    <t>16</t>
  </si>
  <si>
    <t>17</t>
  </si>
  <si>
    <t>18</t>
  </si>
  <si>
    <t>1</t>
  </si>
  <si>
    <t>Итого программные расходы:</t>
  </si>
  <si>
    <t>Приложение 3</t>
  </si>
  <si>
    <t xml:space="preserve">Уточнение расходной части бюджета города Ставрополя </t>
  </si>
  <si>
    <t>тыс. рублей</t>
  </si>
  <si>
    <t>Снос самовольных построек, хранение имущества, находившегося в самовольных постройках</t>
  </si>
  <si>
    <t>проверка</t>
  </si>
  <si>
    <t>итого</t>
  </si>
  <si>
    <t>ас бюджет</t>
  </si>
  <si>
    <t>без остатков</t>
  </si>
  <si>
    <t>изменения</t>
  </si>
  <si>
    <t>643</t>
  </si>
  <si>
    <t>86 1 00 00000</t>
  </si>
  <si>
    <t>86 1 00 10010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</si>
  <si>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</si>
  <si>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</si>
  <si>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Обеспечение деятельности контрольно-счетной
палаты города Ставрополя</t>
  </si>
  <si>
    <t>86 1 00 10020</t>
  </si>
  <si>
    <t>86</t>
  </si>
  <si>
    <t>Основное мероприятие «Создание и обеспечение надлежащего состояния мест захоронения на территории города Ставрополя»</t>
  </si>
  <si>
    <t xml:space="preserve">Межбюджетные трансферты     </t>
  </si>
  <si>
    <t>прил вед. Стр-ра</t>
  </si>
  <si>
    <t>прил МП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</si>
  <si>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</si>
  <si>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Муниципальная программа «Развитие образования в городе Ставрополе»</t>
  </si>
  <si>
    <t>Подпрограмма «Расширение и усовершенствование сети муниципальных дошкольных и общеобразовательных учреждений»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</si>
  <si>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t>
  </si>
  <si>
    <t>Муниципальная программа «Социальная поддержка населения города Ставрополя»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</si>
  <si>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</si>
  <si>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>Муниципальная программа «Развитие градостроительства на территории города Ставрополя»</t>
  </si>
  <si>
    <t>05 Б 00 00000</t>
  </si>
  <si>
    <t>Расходы в рамках реализации муниципальной программы «Развитие градостроительства на территории города Ставрополя»</t>
  </si>
  <si>
    <t>Муниципальная программа «Обеспечение жильем молодых семей в городе Ставрополе»</t>
  </si>
  <si>
    <t>Муниципальная программа «Культура города Ставрополя»</t>
  </si>
  <si>
    <t>Муниципальная программа «Развитие физической культуры и спорта в городе Ставрополе»</t>
  </si>
  <si>
    <t>Муниципальная программа «Молодежь города Ставрополя»</t>
  </si>
  <si>
    <t>Расходы в рамках реализации муниципальной программы «Молодежь города Ставрополя»</t>
  </si>
  <si>
    <t>Муниципальная программа «Управление муниципальными финансами и муниципальным долгом города Ставрополя»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</si>
  <si>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</si>
  <si>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</si>
  <si>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</si>
  <si>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Муниципальная программа «Экономическое развитие города Ставрополя»</t>
  </si>
  <si>
    <t>Муниципальная программа «Развитие муниципальной службы и противодействие коррупции в городе Ставрополе»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</si>
  <si>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</si>
  <si>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</si>
  <si>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 xml:space="preserve">Подпрограмма «НЕзависимость» </t>
  </si>
  <si>
    <t xml:space="preserve">Подпрограмма «Профилактика правонарушений в городе Ставрополе» 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</si>
  <si>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</si>
  <si>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Муниципальная программа «Энергосбережение и повышение энергетической эффективности в городе Ставрополе»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</si>
  <si>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</si>
  <si>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Муниципальная программа «Развитие казачества в городе Ставрополе»</t>
  </si>
  <si>
    <t>Расходы в рамках реализации муниципальной программы «Развитие казачества в городе Ставрополе»</t>
  </si>
  <si>
    <t>Подпрограмма «Создание благоприятных условий для экономического развития города Ставрополя»</t>
  </si>
  <si>
    <t>03 3 01 20530</t>
  </si>
  <si>
    <t>98 1 00 76610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</si>
  <si>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</si>
  <si>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</si>
  <si>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</si>
  <si>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12 2 01 00000</t>
  </si>
  <si>
    <t>12 2 01 20650</t>
  </si>
  <si>
    <t>Дополнительное образование детей</t>
  </si>
  <si>
    <t>Молодежная политика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</si>
  <si>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</si>
  <si>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</si>
  <si>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</si>
  <si>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</si>
  <si>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01 1 07 78110</t>
  </si>
  <si>
    <t>01 1 07 78120</t>
  </si>
  <si>
    <t>01 1 07 78130</t>
  </si>
  <si>
    <t>01 1 07 78140</t>
  </si>
  <si>
    <t>03 1 01 78210</t>
  </si>
  <si>
    <t>03 1 01 78220</t>
  </si>
  <si>
    <t>03 1 01 78230</t>
  </si>
  <si>
    <t>03 1 01 78240</t>
  </si>
  <si>
    <t>03 1 01 78250</t>
  </si>
  <si>
    <t>03 1 01 78260</t>
  </si>
  <si>
    <t>Основное мероприятие «Совершенствование социальной поддержки семьи и детей»</t>
  </si>
  <si>
    <t>03 2 05 00000</t>
  </si>
  <si>
    <t>03 2 06 00000</t>
  </si>
  <si>
    <t>03 2 08 00000</t>
  </si>
  <si>
    <t>03 2 08 20510</t>
  </si>
  <si>
    <t>03 2 07 00000</t>
  </si>
  <si>
    <t>03 2 07 60040</t>
  </si>
  <si>
    <t>Основное мероприятие «Поддержка социально ориентированных некоммерческих организаций»</t>
  </si>
  <si>
    <t>08 1 03 00000</t>
  </si>
  <si>
    <t>08 1 03 11010</t>
  </si>
  <si>
    <t>08 2 02 00000</t>
  </si>
  <si>
    <t>08 2 02 20440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</si>
  <si>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</si>
  <si>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</si>
  <si>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16 1 02 11010</t>
  </si>
  <si>
    <t>16 1 03 20120</t>
  </si>
  <si>
    <t>16 3 00 00000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</si>
  <si>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</si>
  <si>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16 3 01 00000</t>
  </si>
  <si>
    <t>16 3 01 11010</t>
  </si>
  <si>
    <t>16 3 02 00000</t>
  </si>
  <si>
    <t>16 3 02 20690</t>
  </si>
  <si>
    <t>16 3 03 00000</t>
  </si>
  <si>
    <t>16 3 03 20350</t>
  </si>
  <si>
    <t>16 3 04 00000</t>
  </si>
  <si>
    <t>16 3 04 20350</t>
  </si>
  <si>
    <t>Председатель представительного органа муниципального образования</t>
  </si>
  <si>
    <t>84 2 00 20740</t>
  </si>
  <si>
    <t>05 Б 01 00000</t>
  </si>
  <si>
    <t>05 Б 01 20390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</si>
  <si>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</si>
  <si>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Основное мероприятие «Проведение мероприятий для отдельных категорий граждан»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</si>
  <si>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</si>
  <si>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Основное мероприятие «Развитие международного, межрегионального и межмуниципального сотрудничества города Ставрополя»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</si>
  <si>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</si>
  <si>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Основное мероприятие «Создание благоприятных условий для развития инвестиционной деятельности»</t>
  </si>
  <si>
    <t>Основное мероприятие «Создание условий для развития туризма на территории города Ставрополя»</t>
  </si>
  <si>
    <t xml:space="preserve">07     03     </t>
  </si>
  <si>
    <t xml:space="preserve">Молодежная политика 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</si>
  <si>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</si>
  <si>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Расходы на уплату взносов на капитальный ремонт общего имущества в многоквартирных домах</t>
  </si>
  <si>
    <t>Подпрограмма «Организация дошкольного, общего и дополнительного образования»</t>
  </si>
  <si>
    <t>Основное мероприятие «Проведение аварийно-спасательных работ и организация обучения населения города Ставрополя»</t>
  </si>
  <si>
    <t>Основное мероприятие «Обеспечение первичных мер пожарной безопасности»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</si>
  <si>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</si>
  <si>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</si>
  <si>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</si>
  <si>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</si>
  <si>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Расходы на информирование об инвестиционных возможностях города Ставрополя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</si>
  <si>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</si>
  <si>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Расходы на реализацию мероприятий, направленных на повышение профессионального уровня муниципальных служащих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</si>
  <si>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</si>
  <si>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Подпрограмма «Профилактика правонарушений в городе Ставрополе»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</si>
  <si>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</si>
  <si>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Расходы на повышение социальной активности жителей города Ставрополя</t>
  </si>
  <si>
    <t xml:space="preserve">Расходы на пропаганду здорового образа жизни </t>
  </si>
  <si>
    <t>Расходы на повышение квалификации работников отрасли  «Физическая культура и спорт»</t>
  </si>
  <si>
    <t>Расходы на проведение работ по уходу за зелеными насаждениями</t>
  </si>
  <si>
    <t>Расходы на размещение информационных баннеров на лайтбоксах на остановочных пунктах в городе Ставрополе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</si>
  <si>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</si>
  <si>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</si>
  <si>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>Расходы на ремонт автомобильных дорог общего пользования местного значения</t>
  </si>
  <si>
    <t>Расходы на обеспечение уличного освещения территории города Ставрополя</t>
  </si>
  <si>
    <t xml:space="preserve">Расходы на демонтаж, хранение или уничтожение рекламных конструкций за счет средств местного бюджета </t>
  </si>
  <si>
    <t>Расходы на содержание автомобильных дорог общего пользования местного значения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</si>
  <si>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</si>
  <si>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</si>
  <si>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Всего</t>
  </si>
  <si>
    <t>Непрограммные расходы</t>
  </si>
  <si>
    <t>Телевидение и радиовещание</t>
  </si>
  <si>
    <t>14 1 03 98710</t>
  </si>
  <si>
    <t>08 2 03 21060</t>
  </si>
  <si>
    <t>04 2 02 21090</t>
  </si>
  <si>
    <t>04 3 04 21070</t>
  </si>
  <si>
    <t>Расходы на подготовку документов территориального планирования города Ставрополя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</si>
  <si>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</si>
  <si>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70 4 00 98710</t>
  </si>
  <si>
    <t>14 1 04 98720</t>
  </si>
  <si>
    <t>м.б.</t>
  </si>
  <si>
    <t>межб. Трансф</t>
  </si>
  <si>
    <t>СТАЛО ВСЕГО</t>
  </si>
  <si>
    <t>ИЗМ ВСЕГО</t>
  </si>
  <si>
    <t>12     01</t>
  </si>
  <si>
    <t>Предоставление мер социальной поддержки Почетным гражданам города Ставрополя</t>
  </si>
  <si>
    <t>04 2 03 11010</t>
  </si>
  <si>
    <t>98 1 00 20020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</si>
  <si>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</si>
  <si>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</si>
  <si>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03 2 01 80080</t>
  </si>
  <si>
    <t>Доходы</t>
  </si>
  <si>
    <t>Расходы</t>
  </si>
  <si>
    <t>Дефицит</t>
  </si>
  <si>
    <t>78 1 00 11010</t>
  </si>
  <si>
    <t>собств</t>
  </si>
  <si>
    <t>безвозм</t>
  </si>
  <si>
    <t>Муниципальная программа «Формирование современной городской среды на территории города Ставрополя»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</si>
  <si>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</si>
  <si>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20 0 00 00000</t>
  </si>
  <si>
    <t>20 Б 00 00000</t>
  </si>
  <si>
    <t>20</t>
  </si>
  <si>
    <t>СК</t>
  </si>
  <si>
    <t>ФБ</t>
  </si>
  <si>
    <t>10 Б 01 00000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</si>
  <si>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</si>
  <si>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</si>
  <si>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02 Б 02 20560</t>
  </si>
  <si>
    <t>20 Б 03 00000</t>
  </si>
  <si>
    <t>20 Б 03 20300</t>
  </si>
  <si>
    <t xml:space="preserve">03 1 01 77220 </t>
  </si>
  <si>
    <t>75 1 00 11010</t>
  </si>
  <si>
    <t>Предоставление молодым семьям социальных выплат на приобретение (строительство) жилья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</si>
  <si>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</si>
  <si>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Расходы на проведение мероприятий по энергосбережению и повышению энергетической эффективности</t>
  </si>
  <si>
    <t xml:space="preserve">средства субсидии из бюджета Ставропольского края </t>
  </si>
  <si>
    <t>средства местного бюджета</t>
  </si>
  <si>
    <t>Подпрограмма «Профилактика терроризма, экстремизма, межнациональных (межэтнических) конфликтов в городе Ставрополе»</t>
  </si>
  <si>
    <t>15 1 03 00000</t>
  </si>
  <si>
    <t>15 1 03 20350</t>
  </si>
  <si>
    <t>Основное мероприятие «Организация и проведение информационно-пропагандистских мероприятий по разъяснению сущности терроризма и экстремизма, их общественной опасности»</t>
  </si>
  <si>
    <t>Основное мероприятие «Реализация профилактических мер, направленных на предупреждение экстремистской деятельности»</t>
  </si>
  <si>
    <t xml:space="preserve">Комитет культуры и молодежной политики администрации города Ставрополя
</t>
  </si>
  <si>
    <t>01 1 02 80260</t>
  </si>
  <si>
    <t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</t>
  </si>
  <si>
    <t>04 2 02 S6411</t>
  </si>
  <si>
    <t>04 3 04 S6413</t>
  </si>
  <si>
    <t>Основное мероприятие «Сбор и анализ информации о состоянии  этноконфессиональных отношений и межнациональной напряженности, распространения идеологии терроризма в городе Ставрополе»</t>
  </si>
  <si>
    <t>БЫЛО ВСЕГО</t>
  </si>
  <si>
    <t>МП</t>
  </si>
  <si>
    <t>неМП</t>
  </si>
  <si>
    <t>БЫЛО</t>
  </si>
  <si>
    <t>СТАЛО</t>
  </si>
  <si>
    <t>03 1 01 77220</t>
  </si>
  <si>
    <t xml:space="preserve">Компенсация в денежном эквиваленте за питание обучающихся с ограниченными возможностями здоровья, получающих образование на дому </t>
  </si>
  <si>
    <t xml:space="preserve"> бюджета города Ставрополя</t>
  </si>
  <si>
    <t>по средствам  бюджета города Ставрополя</t>
  </si>
  <si>
    <t>заемные</t>
  </si>
  <si>
    <t>источн</t>
  </si>
  <si>
    <t>Подпрограмма «Благоустройство территории города Ставрополя»</t>
  </si>
  <si>
    <t>84 1 00 20050</t>
  </si>
  <si>
    <t>Проект бюджета города Ставрополя с учетом изменений</t>
  </si>
  <si>
    <t>усл утв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</si>
  <si>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</si>
  <si>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</si>
  <si>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Выплата денежных средств на содержание ребенка опекуну (попечителю)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</si>
  <si>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</si>
  <si>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Выплата единовременного пособия усыновителям</t>
  </si>
  <si>
    <t>Формирование, содержание и использование Архивного фонда Ставропольского края</t>
  </si>
  <si>
    <t>98 1 00 20050</t>
  </si>
  <si>
    <t>10 Б 01 20010</t>
  </si>
  <si>
    <t>Расходы на организацию и осуществление деятельности по опеке и попечительству в области образования</t>
  </si>
  <si>
    <t>Создание и организация деятельности комиссий по делам несовершеннолетних и защите их прав</t>
  </si>
  <si>
    <t>Условно утвержденные расходы</t>
  </si>
  <si>
    <t>Осуществление ежегодной денежной выплаты лицам, награжденным нагрудным знаком «Почетный донор России»</t>
  </si>
  <si>
    <t>03 1 Р1 00000</t>
  </si>
  <si>
    <t>Реализация регионального проекта «Финансовая поддержка семей при рождении детей»</t>
  </si>
  <si>
    <t>03 1 02 77650</t>
  </si>
  <si>
    <t>03 1 Р1 50840</t>
  </si>
  <si>
    <t>Организация и осуществление деятельности по опеке и попечительству в области здравоохранения</t>
  </si>
  <si>
    <t>Осуществление отдельных государственных полномочий в области труда и социальной защиты отдельных категорий граждан</t>
  </si>
  <si>
    <t>межбюджетные трансферты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</si>
  <si>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</si>
  <si>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20 Б F2 55550</t>
  </si>
  <si>
    <t>20 Б F2 00000</t>
  </si>
  <si>
    <t>Реализация регионального проекта  «Формирование комфортной городской среды»</t>
  </si>
  <si>
    <t>Реализация программ формирования современной городской среды</t>
  </si>
  <si>
    <t>усл</t>
  </si>
  <si>
    <t>Муниципальная программа «Поддержка ведения садоводства и огородничества на территории города Ставрополя»</t>
  </si>
  <si>
    <t>Расходы в рамках реализации муниципальной программы «Поддержка ведения садоводства и огородничества на территории города Ставрополя»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</si>
  <si>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</si>
  <si>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Выплата денежной компенсации семьям, в которых в период с 
1 января 2011 года по 31 декабря 2015 года родился третий или последующий ребенок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</si>
  <si>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</si>
  <si>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</si>
  <si>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ЖКХ</t>
  </si>
  <si>
    <t>другие</t>
  </si>
  <si>
    <t>м.б</t>
  </si>
  <si>
    <t>03 1 02 76280</t>
  </si>
  <si>
    <t>15 1 02 S7730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</si>
  <si>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</si>
  <si>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03 2 01 80290</t>
  </si>
  <si>
    <t>Основное мероприятие «Разработка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Ставрополе»</t>
  </si>
  <si>
    <t>Выплата ежемесячного пособия гражданам, оказавшимся в трудной жизненной ситуации</t>
  </si>
  <si>
    <t>Водное хозяйство</t>
  </si>
  <si>
    <t>04 3 04 S7240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</si>
  <si>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</si>
  <si>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03 2 01 80300</t>
  </si>
  <si>
    <t xml:space="preserve"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 649 </t>
  </si>
  <si>
    <t>03 1 01 77820</t>
  </si>
  <si>
    <t>Р ПР</t>
  </si>
  <si>
    <t>прим мп+непр</t>
  </si>
  <si>
    <t xml:space="preserve">04     06     </t>
  </si>
  <si>
    <t>08 1 05 11010</t>
  </si>
  <si>
    <t>08 1 05 00000</t>
  </si>
  <si>
    <t>2022 год</t>
  </si>
  <si>
    <t>15 3 02 20370</t>
  </si>
  <si>
    <t>15 2 01 20660</t>
  </si>
  <si>
    <t>15 2 03 20100</t>
  </si>
  <si>
    <t>15 3 01 20370</t>
  </si>
  <si>
    <t>15 3 03 20370</t>
  </si>
  <si>
    <t>12 2 04 00000</t>
  </si>
  <si>
    <t>12 2 04 20650</t>
  </si>
  <si>
    <t>ВНБ</t>
  </si>
  <si>
    <t>Основное мероприятие «Обеспечение деятельности муниципальных  учреждений дополнительного образования в сфере культуры города Ставрополя»</t>
  </si>
  <si>
    <t>07 2 06 21280</t>
  </si>
  <si>
    <t>07 2 05 21230</t>
  </si>
  <si>
    <t>07 2 A1 00000</t>
  </si>
  <si>
    <t>07 2 A1 55195</t>
  </si>
  <si>
    <t>Реализация регионального проекта  «Культурная среда»</t>
  </si>
  <si>
    <t>Основное  мероприятие «Модернизация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культуры)»</t>
  </si>
  <si>
    <t>07 2 08 11010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</si>
  <si>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</si>
  <si>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 xml:space="preserve">Расходы  на осуществление функций административного центра Ставропольского края на ремонт автомобильных дорог общего пользования местного значения </t>
  </si>
  <si>
    <t>Строительство (реконструкция) объектов коммунальной инфраструктуры</t>
  </si>
  <si>
    <t xml:space="preserve">Расходы  на осуществление функций административного центра Ставропольского края на содержание центральной части города Ставрополя </t>
  </si>
  <si>
    <t>04 3 04 S6416</t>
  </si>
  <si>
    <t>Расходы  на осуществление функций административного центра Ставропольского края на содержание центральной части города Ставрополя</t>
  </si>
  <si>
    <t>Проведение информационно-пропагандистских мероприятий, направленных на профилактику идеологии терроризма</t>
  </si>
  <si>
    <t>Основное мероприятие «Формирование положительного имиджа города Ставрополя на региональном, федеральном и международных уровнях»</t>
  </si>
  <si>
    <t>Расходы на реализацию мероприятий, направленных на социальную поддержку семьи и детей</t>
  </si>
  <si>
    <t>03 2 05 20500</t>
  </si>
  <si>
    <t>Основное мероприятие «Поддержка пожилых людей»</t>
  </si>
  <si>
    <t>03 2 06 20520</t>
  </si>
  <si>
    <t>Основное мероприятие «Проведение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 649»</t>
  </si>
  <si>
    <t>03 3 02 00000</t>
  </si>
  <si>
    <t>03 3 02 21630</t>
  </si>
  <si>
    <t>Подпрограмма «Развитие системы муниципальных бюджетных учреждений физкультурно-спортивной направленности в городе Ставрополе»</t>
  </si>
  <si>
    <t>Основное мероприятие «Обеспечение деятельности муниципальных бюджетных учреждений дополнительного образования города Ставрополя»</t>
  </si>
  <si>
    <t>Основное мероприятие «Обеспечение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Ставрополя»</t>
  </si>
  <si>
    <t>Основное мероприятие «Обеспечение деятельности муниципальных бюджетных учреждений спортивной подготовки города Ставрополя»</t>
  </si>
  <si>
    <t>Подпрограмма «Развитие физической культуры и спорта, пропаганда здорового образа жизни»</t>
  </si>
  <si>
    <t>Основное мероприятие «Пропаганда здорового образа жизни через средства массовой информации»</t>
  </si>
  <si>
    <t xml:space="preserve">Проект бюджета города Ставрополя </t>
  </si>
  <si>
    <t>по непрограммным направлениям деятельности органов местного самоуправления города Ставрополя на 2022 год</t>
  </si>
  <si>
    <t>Расходы на обеспечение участия представителей администрации города Ставрополя и предприятий города Ставрополя в выставках, семинарах, форумах, конференциях и иных мероприятиях инвестиционной и инновационной направленности</t>
  </si>
  <si>
    <t>Основное мероприятие «Организация и предоставление муниципальных услуг в городе Ставрополе в электронной форме»</t>
  </si>
  <si>
    <t>Подпрограмма «Повышение результативности и эффективности предоставления государственных и муниципальных услуг в городе Ставрополе»</t>
  </si>
  <si>
    <t>13 Б 00 00000</t>
  </si>
  <si>
    <t>13 Б 01 00000</t>
  </si>
  <si>
    <t>13 Б 01 20450</t>
  </si>
  <si>
    <t>13 Б 02 00000</t>
  </si>
  <si>
    <t>13 Б 02 20620</t>
  </si>
  <si>
    <t>Основное мероприятие «Создание условий для профессионального развития и личностного роста муниципальных служащих»</t>
  </si>
  <si>
    <t>Основное мероприятие «Формирование антикоррупционных механизмов в кадровой работе»</t>
  </si>
  <si>
    <t>Предоставление государственной социальной помощи малоимущим семьям, малоимущим одиноко проживающим гражданам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</si>
  <si>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</si>
  <si>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</si>
  <si>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</si>
  <si>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</si>
  <si>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</si>
  <si>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Предоставление гражданам субсидий на оплату жилого помещения и коммунальных услуг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</si>
  <si>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</si>
  <si>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</si>
  <si>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 xml:space="preserve"> Выплата пособия на ребенка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</si>
  <si>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</si>
  <si>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11 Б 01 20340</t>
  </si>
  <si>
    <t>11 Б 02 20030</t>
  </si>
  <si>
    <t>11 Б 02 20070</t>
  </si>
  <si>
    <t>11 Б 02 21120</t>
  </si>
  <si>
    <t>11 Б 03 20180</t>
  </si>
  <si>
    <t>11 Б 02 20840</t>
  </si>
  <si>
    <t>Основное мероприятие «Обеспечение деятельности муниципальных бюджетных учреждений города Ставрополя»</t>
  </si>
  <si>
    <t>Расходы на модернизацию материально-технической базы муниципальных учреждений в сфере культуры города Ставрополя</t>
  </si>
  <si>
    <t>09 Б 04 11010</t>
  </si>
  <si>
    <t>04 2 R1 S3930</t>
  </si>
  <si>
    <t>Итого по непрограммным</t>
  </si>
  <si>
    <t>Муниципальная программа «Обеспечение жильем населения города Ставрополя»</t>
  </si>
  <si>
    <t>ск</t>
  </si>
  <si>
    <t>Подпрограмма «Обеспечение жильем молодых семей в городе Ставрополе»</t>
  </si>
  <si>
    <t>06 1 00 00000</t>
  </si>
  <si>
    <t>06 1 01 00000</t>
  </si>
  <si>
    <t>06 1 01 L4970</t>
  </si>
  <si>
    <t>04 2 R3 00000</t>
  </si>
  <si>
    <t>04 2 R3 21730</t>
  </si>
  <si>
    <t>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</si>
  <si>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03 1 02 R3020</t>
  </si>
  <si>
    <t>Осуществление ежемесячных выплат на детей в возрасте от трех до семи лет включительно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</si>
  <si>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</si>
  <si>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02 L3040</t>
  </si>
  <si>
    <t>01 1 02 90260</t>
  </si>
  <si>
    <t>2023 год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</si>
  <si>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</si>
  <si>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</si>
  <si>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</si>
  <si>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наименование</t>
  </si>
  <si>
    <t>код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</si>
  <si>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</si>
  <si>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20 Б 04 00000</t>
  </si>
  <si>
    <t>20 Б 04 20300</t>
  </si>
  <si>
    <t>84 1 00 11010</t>
  </si>
  <si>
    <t>Проведение общественно значимых мероприятий в сфере образования, мероприятий для детей и молодежи</t>
  </si>
  <si>
    <t>Ивлева уточняет 0,01</t>
  </si>
  <si>
    <t>Основное мероприятие «Проведение рейтингового голосования на территории города Ставрополя по отбору общественных территорий, планируемых к благоустройству»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</si>
  <si>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 649</t>
  </si>
  <si>
    <t>Капитальный ремонт и ремонт автомобильных дорог общего пользования местного значения муниципальных округов и городских округов</t>
  </si>
  <si>
    <t>04 2 02 S8660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</si>
  <si>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</si>
  <si>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03 00000</t>
  </si>
  <si>
    <t>09 Б 03 20460</t>
  </si>
  <si>
    <t>98 1 00 21360</t>
  </si>
  <si>
    <t>Дополнительное финансовое обеспечение за счет бюджета города Ставрополя для осуществления  переданных отдельных государственных полномочий Ставропольского края по созданию административных комиссий</t>
  </si>
  <si>
    <t>остатки мб</t>
  </si>
  <si>
    <t>Расходы на изготовление научно-проектной документации для проведения работ по сохранению объектов культурного наследия, находящихся в муниципальной собственности города Ставрополя</t>
  </si>
  <si>
    <t xml:space="preserve">03     10     </t>
  </si>
  <si>
    <t>Защита населения и территории от чрезвычайных ситуаций природного и техногенного характера, пожарная безопасность</t>
  </si>
  <si>
    <t>Предоставление денежной компенсации стоимости горячего питания родителям (законным представителям) обучающихся, имеющих заболевания, в муниципальных образовательных организациях</t>
  </si>
  <si>
    <t>03 1 01 R4040</t>
  </si>
  <si>
    <t>Основное мероприятие «Благоустройство общественных территорий города Ставрополя»</t>
  </si>
  <si>
    <t>20 Б 02 00000</t>
  </si>
  <si>
    <t>07 2 09 21750</t>
  </si>
  <si>
    <t>Уточнение расходной части бюджета города Ставрополя в разрезе муниципальных программ города Ставрополя на 2023 год</t>
  </si>
  <si>
    <t>Уточнение расходной части бюджета города Ставрополя в разрезе муниципальных программ города Ставрополя на 2022 год</t>
  </si>
  <si>
    <t>по непрограммным направлениям деятельности органов местного самоуправления города Ставрополя на 2023 год</t>
  </si>
  <si>
    <t>Основное мероприятие «Организация  деятельности по обращению с животными без владельцев»</t>
  </si>
  <si>
    <t>Организация мероприятий при осуществлении деятельности по обращению с животными без владельцев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</si>
  <si>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</si>
  <si>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04 2 R2 54180</t>
  </si>
  <si>
    <t>Комитет экономического развития и торговли администрации города Ставрополя</t>
  </si>
  <si>
    <t>Обеспечение деятельности комитета экономического развития и торговли администрации города Ставрополя</t>
  </si>
  <si>
    <t>Непрограммные расходы в рамках обеспечения деятельности комитета экономического развития и торговли администрации города Ставрополя</t>
  </si>
  <si>
    <t>Основное мероприятие «Своевременное исполнение обязательств по обслуживанию и погашению муниципального долга»</t>
  </si>
  <si>
    <t>98 1 00 21620</t>
  </si>
  <si>
    <t>03 1 01 78270</t>
  </si>
  <si>
    <t xml:space="preserve">Оказание государственной социальной помощи на основании социального контракта отдельным категориям граждан 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</si>
  <si>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</si>
  <si>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15 1 04 00000</t>
  </si>
  <si>
    <t>Основное мероприятие «Повышение уровня антитеррористической защищенности мест массового пребывания граждан на территории города Ставрополя и муниципальных учреждений города Ставрополя»</t>
  </si>
  <si>
    <t>Обеспечение дорожной деятельности в рамках реализации национального проекта «Безопасные качественные дороги»</t>
  </si>
  <si>
    <t>Другие вопросы в области национальной безопасности и правоохранительной деятельности</t>
  </si>
  <si>
    <t xml:space="preserve">03     14     </t>
  </si>
  <si>
    <t>15 1 04 20380</t>
  </si>
  <si>
    <t>Расходы на создание безопасных условий функционирования муниципальных учреждений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</si>
  <si>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</si>
  <si>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52320</t>
  </si>
  <si>
    <t>Основное мероприятие «Проектирование и 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</si>
  <si>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2024 год</t>
  </si>
  <si>
    <t xml:space="preserve">Предельные объемы бюджетных ассигнований на 2024 год </t>
  </si>
  <si>
    <t xml:space="preserve">Предельные объемы бюджетных ассигнований на 2023 год </t>
  </si>
  <si>
    <t>12 4 00 00000</t>
  </si>
  <si>
    <t>12 4 01 00000</t>
  </si>
  <si>
    <t>12 4 01 20710</t>
  </si>
  <si>
    <t>12 4 02 00000</t>
  </si>
  <si>
    <t>12 4 02 20710</t>
  </si>
  <si>
    <t>12 4 03 00000</t>
  </si>
  <si>
    <t>12 4 03 20710</t>
  </si>
  <si>
    <t>12 4 04 00000</t>
  </si>
  <si>
    <t>12 4 04 11010</t>
  </si>
  <si>
    <t>04 3 04 2ИП01</t>
  </si>
  <si>
    <t>01 1 04 00000</t>
  </si>
  <si>
    <t>01 1 04 78810</t>
  </si>
  <si>
    <t>01 2 Е1 55200</t>
  </si>
  <si>
    <t>01 2 P2 00000</t>
  </si>
  <si>
    <t>01 2 Е1 00000</t>
  </si>
  <si>
    <t>12 3 00 00000</t>
  </si>
  <si>
    <t>Подпрограмма «Создание условий для развития торговой деятельности и сферы услуг на территории города Ставрополя»</t>
  </si>
  <si>
    <t>12 3 01 00000</t>
  </si>
  <si>
    <t>Основное мероприятие «Формирование комплекса мер по обеспечению совершенствования потребительского рынка и сферы услуг на территории города Ставрополя»</t>
  </si>
  <si>
    <t>12 3 01 20060</t>
  </si>
  <si>
    <t>12 3 01 80240</t>
  </si>
  <si>
    <t>Реализация регионального проекта   «Современная школа»</t>
  </si>
  <si>
    <t>Реализация регионального проекта «Безопасность дорожного движения»</t>
  </si>
  <si>
    <t>Создание в городе Ставрополе специализированных центров по профилактике детского дорожно-транспортного травматизма на базе муниципальных образовательных учреждений в рамках реализации регионального проекта «Безопасность дорожного движения»</t>
  </si>
  <si>
    <t>Обеспечение отдыха и оздоровления детей</t>
  </si>
  <si>
    <t>Основное мероприятие «Организация и обеспечение отдыха и оздоровления детей»</t>
  </si>
  <si>
    <t>Обеспечение бесплатного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по основным образовательным программам</t>
  </si>
  <si>
    <t>03 1 01 78730</t>
  </si>
  <si>
    <t>Осуществление выплаты социального пособия на погребение</t>
  </si>
  <si>
    <t>Ежемесячная денежная выплата семьям погибших ветеранов боевых действий</t>
  </si>
  <si>
    <t>Реализация регионального проекта «Региональная и местная дорожная сеть»</t>
  </si>
  <si>
    <t>04 2 R1 00000</t>
  </si>
  <si>
    <t>04 2 R2 00000</t>
  </si>
  <si>
    <t>Реализация регионального проекта «Общесистемные меры развития дорожного хозяйства»</t>
  </si>
  <si>
    <t>Реализация регионального проекта  «Содействие занятости»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</si>
  <si>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</t>
  </si>
  <si>
    <t>01 2 P2 S2320</t>
  </si>
  <si>
    <t>строительство дошкольного образовательного учреждения на 300 мест по ул. Алексея Яковлева в г. Ставрополе</t>
  </si>
  <si>
    <t>04 3 04 SИП01</t>
  </si>
  <si>
    <t>по непрограммным направлениям деятельности органов местного самоуправления города Ставрополя на 2024 год</t>
  </si>
  <si>
    <t>Уточнение расходной части бюджета города Ставрополя в разрезе муниципальных программ города Ставрополя на 2024 год</t>
  </si>
  <si>
    <t xml:space="preserve">Показатель
Проект </t>
  </si>
  <si>
    <t xml:space="preserve">Предоставление молодым семьям социальных выплат на приобретение (строительство) жилья </t>
  </si>
  <si>
    <t>07 2 A1 55197</t>
  </si>
  <si>
    <t>Государственная поддержка отрасли культуры (модернизация муниципальных образовательных организаций дополнительного образования (детских школ искусств) по видам искусств путем их реконструкции, капитального ремонта)</t>
  </si>
  <si>
    <t>07 2 03 L5194</t>
  </si>
  <si>
    <t>Государственная поддержка отрасли культуры (комплектование книжных фондов библиотек муниципальных образований)</t>
  </si>
  <si>
    <t>86 2 00 00000</t>
  </si>
  <si>
    <t>86 2 00 10010</t>
  </si>
  <si>
    <t>86 2 00 10020</t>
  </si>
  <si>
    <t>Реализация мероприятий по модернизации школьных систем образования</t>
  </si>
  <si>
    <t>Выплата компенсации  расходов на оплату жилых помещений и коммунальных услуг отдельным категориям граждан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</si>
  <si>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 не достигшим совершеннолетия на 3 сентября 1945 года и постоянно проживающим на территории Ставропольского края</t>
  </si>
  <si>
    <t>Выплата ежегодного социального пособия на проезд студентам</t>
  </si>
  <si>
    <t>SИП01</t>
  </si>
  <si>
    <t>S8660</t>
  </si>
  <si>
    <t>S7730</t>
  </si>
  <si>
    <t>S6416</t>
  </si>
  <si>
    <t>S6413</t>
  </si>
  <si>
    <t>S6411</t>
  </si>
  <si>
    <t>S3930</t>
  </si>
  <si>
    <t>S2320</t>
  </si>
  <si>
    <t>R4040</t>
  </si>
  <si>
    <t>R3020</t>
  </si>
  <si>
    <t>L4970</t>
  </si>
  <si>
    <t>L3040</t>
  </si>
  <si>
    <t>2ИП01</t>
  </si>
  <si>
    <t>направления расходов</t>
  </si>
  <si>
    <t>04 3 04 S724К</t>
  </si>
  <si>
    <t xml:space="preserve">Расходы на уплату налога на добавленную стоимость в связи с реализацией муниципального имущества физическим лицам </t>
  </si>
  <si>
    <t>01 2 Е1 77610</t>
  </si>
  <si>
    <t>Расходы 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</si>
  <si>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Основное мероприятие «Организация работы по оказанию отдельным категориям граждан социальных транспортных услуг и услуг по сопровождению»</t>
  </si>
  <si>
    <t>Председатель контрольно-счетного органа и его заместитель</t>
  </si>
  <si>
    <t>01 2 Е1 S7610</t>
  </si>
  <si>
    <t>мб</t>
  </si>
  <si>
    <t>кб</t>
  </si>
  <si>
    <t>07 2 A1 55900</t>
  </si>
  <si>
    <t>Техническое оснащение муниципальных музеев</t>
  </si>
  <si>
    <t>Должно быть</t>
  </si>
  <si>
    <t>ОСТАТКИ</t>
  </si>
  <si>
    <t>непрогр</t>
  </si>
  <si>
    <t>д б</t>
  </si>
  <si>
    <t>01 1 06 L7500</t>
  </si>
  <si>
    <t>01 1 06 S7500</t>
  </si>
  <si>
    <t>Реализация мероприятий по модернизации школьных систем образования (завершение работ по капитальному ремонту)</t>
  </si>
  <si>
    <t>Расходы на реализацию мероприятий, направленных на повышение уровня качества образования в городе Ставрополе</t>
  </si>
  <si>
    <t>01 1 08 21780</t>
  </si>
  <si>
    <t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</si>
  <si>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организации и обеспечению отдыха и оздоровления детей</t>
  </si>
  <si>
    <t>01 1 04 21790</t>
  </si>
  <si>
    <t>15 1 04 S8830</t>
  </si>
  <si>
    <t>Реализация мероприятий по обеспечению антитеррористической защищенности в муниципальных общеобразовательных организациях</t>
  </si>
  <si>
    <t>Основное мероприятие "Выполнение противопожарных мероприятий в муниципальных учреждениях города Ставрополя"</t>
  </si>
  <si>
    <t>08 2 04 60150</t>
  </si>
  <si>
    <t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t>
  </si>
  <si>
    <t>Расходы на участие учащихся муниципальных учреждений дополнительного образования детей в области искусств города Ставрополя и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</t>
  </si>
  <si>
    <t>Основное мероприятие «Участие учащихся муниципальных учреждений дополнительного образования в области искусств и творческих коллективов, концертных исполнителей муниципальных учреждений  культуры города Ставрополя в фестивалях и конкурсах исполнительского мастерства»</t>
  </si>
  <si>
    <t>проект</t>
  </si>
  <si>
    <t>строительство средней общеобразовательной школы на 825 мест в 490 квартале города Ставрополя по ул. Чапаева</t>
  </si>
  <si>
    <t>2025 год</t>
  </si>
  <si>
    <t>косячок</t>
  </si>
  <si>
    <t xml:space="preserve">корректировка     </t>
  </si>
  <si>
    <t>04 2 02 S6490</t>
  </si>
  <si>
    <t xml:space="preserve">Строительство и реконструкция автомобильных дорог общего пользования местного значения </t>
  </si>
  <si>
    <t>04 3 04 2ИП04</t>
  </si>
  <si>
    <t>04 3 04 SИП04</t>
  </si>
  <si>
    <t>07 2 A3 00000</t>
  </si>
  <si>
    <t>07 2 A3 54530</t>
  </si>
  <si>
    <t>Создание виртуальных концертных залов</t>
  </si>
  <si>
    <t>Реализация регионального проекта  «Цифровая культура»</t>
  </si>
  <si>
    <t>Реализация инициативного проекта (благоустройство территории, прилегающей к культурно-досуговому центру «Чапаевец», по пр. Чапаевский №21 в г. Ставрополь Ставропольского края)</t>
  </si>
  <si>
    <t>Реализация инициативного проекта за счет инициативных платежей (благоустройство территории, прилегающей к культурно-досуговому центру «Чапаевец», по пр. Чапаевский №21 в г. Ставрополь Ставропольского края)</t>
  </si>
  <si>
    <t>Реализация инициативного проекта за счет инициативных платежей (благоустройство сквера в районе дома 41/1 по ул. Доваторцев в г. Ставрополь Ставропольского края)</t>
  </si>
  <si>
    <t>Реализация инициативного проекта  (благоустройство сквера в районе дома 41/1 по ул. Доваторцев в г. Ставрополь Ставропольского края)</t>
  </si>
  <si>
    <t>01 1 02 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</si>
  <si>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</si>
  <si>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98 1 00 00000 </t>
  </si>
  <si>
    <t>Осуществление единовременной денежной выплаты гражданам, удостоенным звания «Почетный ветеран города Ставрополя»</t>
  </si>
  <si>
    <t>98 1 00 21370</t>
  </si>
  <si>
    <t>Публичные нормативные выплаты гражданам несоциального характера</t>
  </si>
  <si>
    <t>330</t>
  </si>
  <si>
    <t>04 3 04 SИП02</t>
  </si>
  <si>
    <t>04 3 04 2ИП02</t>
  </si>
  <si>
    <t>04 3 04 2ИП03</t>
  </si>
  <si>
    <t>04 3 04 SИП03</t>
  </si>
  <si>
    <t>Реализация инициативного проекта за счет инициативных платежей (благоустройство территории в районе домов по проезду Энгельса, 27-28, 23-24 в г. Ставрополь Ставропольского края)</t>
  </si>
  <si>
    <t>Реализация инициативного проекта (благоустройство территории в районе домов по проезду Энгельса, 27-28, 23-24 в г. Ставрополь Ставропольского края)</t>
  </si>
  <si>
    <t>Реализация инициативного проекта за счет инициативных платежей (благоустройство территории в районе домов по улице Ленина №100 и проезду Ленинградскому №24 в г. Ставрополь Ставропольского края)</t>
  </si>
  <si>
    <t>Реализация инициативного проекта (благоустройство территории в районе домов по улице Ленина №100 и проезду Ленинградскому №24 в г. Ставрополь Ставропольского края)</t>
  </si>
  <si>
    <t>Муниципальная программа «Обеспечение гражданской обороны, первичных мер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природного и техногенного характера»</t>
  </si>
  <si>
    <t>Муниципальная программа «Развитие жилищно-коммунального хозяйства, осуществление дорожной деятельности и обеспечение безопасности дорожного движения на территории города Ставрополя, благоустройство территории города Ставрополя»</t>
  </si>
  <si>
    <t>Муниципальная программа «Развитие муниципальной службы и противодействие коррупции в администрации города Ставрополя, отраслевых (функциональных) и территориальных органах администрации города Ставрополя»</t>
  </si>
  <si>
    <t>Муниципальная программа «Развитие информационного общества в городе Ставрополе»</t>
  </si>
  <si>
    <t>Создание новых мест в общеобразовательных организациях</t>
  </si>
  <si>
    <t xml:space="preserve">Создание новых мест в общеобразовательных организациях (обеспечение ввода объектов в эксплуатацию)
</t>
  </si>
  <si>
    <t>01 2 Е1 53050</t>
  </si>
  <si>
    <t xml:space="preserve">строительство муниципального образовательного учреждения средней общеобразовательной школы на 1550 мест по ул. Алексея Яковлева, 2 в г. Ставрополе </t>
  </si>
  <si>
    <t>Национальный проект «Демография»</t>
  </si>
  <si>
    <t>Национальный проект «Безопасные качественные дороги»</t>
  </si>
  <si>
    <t>Национальный проект «Образование»</t>
  </si>
  <si>
    <t>Национальный проект «Культура»</t>
  </si>
  <si>
    <t>Национальный проект «Жильё и городская среда»</t>
  </si>
  <si>
    <t>мбт</t>
  </si>
  <si>
    <t>местное софинансирование</t>
  </si>
  <si>
    <t>привлеченные мбт</t>
  </si>
  <si>
    <t>Реализация инициативного проекта</t>
  </si>
  <si>
    <t>ИП</t>
  </si>
  <si>
    <t>S641*</t>
  </si>
  <si>
    <t>ВСЕГО</t>
  </si>
  <si>
    <t>цср</t>
  </si>
  <si>
    <t>R3030</t>
  </si>
  <si>
    <t>L7500</t>
  </si>
  <si>
    <t>S7500</t>
  </si>
  <si>
    <t>S6490</t>
  </si>
  <si>
    <t>2ИП02</t>
  </si>
  <si>
    <t>2ИП03</t>
  </si>
  <si>
    <t>2ИП04</t>
  </si>
  <si>
    <t>S724К</t>
  </si>
  <si>
    <t>SИП02</t>
  </si>
  <si>
    <t>SИП03</t>
  </si>
  <si>
    <t>SИП04</t>
  </si>
  <si>
    <t>L5194</t>
  </si>
  <si>
    <t>S8830</t>
  </si>
  <si>
    <t>соц</t>
  </si>
  <si>
    <t>жкх</t>
  </si>
  <si>
    <t>безопасн</t>
  </si>
  <si>
    <t>Расходы в рамках реализации муниципальной программы «Развитие муниципальной службы и противодействие коррупции в администрации города Ставрополя, отраслевых (функциональных) и территориальных органах администрации города Ставрополя»</t>
  </si>
  <si>
    <t>Расходы в рамках реализации муниципальной программы «Развитие информационного общества в городе Ставрополе»</t>
  </si>
  <si>
    <t>14 Б 00 00000</t>
  </si>
  <si>
    <t>14 Б 01 00000</t>
  </si>
  <si>
    <t>14 Б 01 20630</t>
  </si>
  <si>
    <t>14 Б 02 00000</t>
  </si>
  <si>
    <t>14 Б 02 20630</t>
  </si>
  <si>
    <t>14 Б 03 00000</t>
  </si>
  <si>
    <t>14 Б 03 98710</t>
  </si>
  <si>
    <t>14 Б 04 00000</t>
  </si>
  <si>
    <t>14 Б 04 98720</t>
  </si>
  <si>
    <t>Подпрограмма «Дорожная деятельность и обеспечение безопасности дорожного движения на территории города Ставрополя»</t>
  </si>
  <si>
    <t>Подпрограмма «Обеспечение первичных мер пожарной безопасности в границах города Ставрополя»</t>
  </si>
  <si>
    <t>Подпрограмма «Осуществление мероприятий по гражданской обороне, защите населения и территорий от чрезвычайных ситуаций природного и техногенного характера»</t>
  </si>
  <si>
    <t>ПРОЕКТ решения
(09 11 2022)</t>
  </si>
  <si>
    <t>Межбюджетные трансферты     
(поправка)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</si>
  <si>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садоводства, дачного хозяйства до дня вступления в силу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</si>
  <si>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</si>
  <si>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02 Б 04 00000</t>
  </si>
  <si>
    <t>02 Б 04 20560</t>
  </si>
  <si>
    <t>наим</t>
  </si>
  <si>
    <t xml:space="preserve">Р </t>
  </si>
  <si>
    <t>глава</t>
  </si>
  <si>
    <t>05 Б 02 00000</t>
  </si>
  <si>
    <t>05 Б 02 20580</t>
  </si>
  <si>
    <t>поправка</t>
  </si>
  <si>
    <t>Основное мероприятие «Разработка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</si>
  <si>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Сбор сведений и данных для формирования задания для подготовки проектной документации для обеспечения строительства объектов социальной сферы (в том числе формирование земельного участка)</t>
  </si>
  <si>
    <t>Основное мероприятие «Выдача свидетельств (извещений) молодым семьям»</t>
  </si>
  <si>
    <t>Основное мероприятие «Содержание инженерных сетей, находящихся в муниципальной собственности города Ставрополя»</t>
  </si>
  <si>
    <t>Основное мероприятие «Создание и обеспечение надлежащего состояния мест захоронения на территориях общественных муниципальных кладбищ города Ставрополя»</t>
  </si>
  <si>
    <t>Основное мероприятие «Организация мероприятий при осуществлении деятельности по обращению с животными без владельцев»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</si>
  <si>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</t>
  </si>
  <si>
    <t>Основное мероприятие «Проведение аварийно-спасательных работ и организация обучения в области гражданской обороны населения города Ставрополя»</t>
  </si>
  <si>
    <t>Основное мероприятие «Обеспечение первичных мер пожарной безопасности на территории города Ставрополя»</t>
  </si>
  <si>
    <t>Основное мероприятие  «Совершенствование, развитие и содержание муниципального казенного учреждения «Единая дежурно-диспетчерская служба» города Ставрополя»</t>
  </si>
  <si>
    <t>Основное мероприятие «Совершенствование, развитие и поддержание в постоянной готовности системы оповещения и информирования населения об угрозе возникновения или о возникновении чрезвычайных ситуаций природного и техногенного характера и об опасностях, возникающих при военных конфликтах или вследствие этих конфликтов, на территории муниципального образования города Ставрополя Ставропольского края»</t>
  </si>
  <si>
    <t>Основное мероприятие «Разработка проектной документации, построение, развитие, дооборудование и поддержание в постоянной готовности аппаратно-программного комплекса «Безопасный город» и сегмента обеспечения правопорядка и профилактики правонарушений, включая системы видеонаблюдения на территории города Ставрополя»</t>
  </si>
  <si>
    <t>16 4 00 00000</t>
  </si>
  <si>
    <t>Подпрограмма «Обеспечение безопасности людей на водных объектах в границах города Ставрополя»</t>
  </si>
  <si>
    <t>Основное мероприятие «Обеспечение безопасности людей на водных объектах»</t>
  </si>
  <si>
    <t>Расходы на обеспечение безопасности людей на водных объектах</t>
  </si>
  <si>
    <t>16 4 01 00000</t>
  </si>
  <si>
    <t>16 4 01 20150</t>
  </si>
  <si>
    <t>Основное мероприятие «Развитие и обеспечение функционирования межведомственного электронного взаимодействия и информационных систем»</t>
  </si>
  <si>
    <t>Увеличение расходов в части местных средств</t>
  </si>
  <si>
    <t>Уменьшение расходов в части местных средств</t>
  </si>
  <si>
    <t>04 3 04 2ИП05</t>
  </si>
  <si>
    <t>04 3 04 SИП05</t>
  </si>
  <si>
    <t>04 2 02 S6720</t>
  </si>
  <si>
    <t>Cтроительство (реконструкция) автомобильных дорог общего пользования местного значения в целях реализации новых инвестиционных проектов за счет высвобождаемых средств бюджета Ставропольского края в результате снижения объема погашения задолженности Ставропольского края перед Российской Федерацией по бюджетным кредитам</t>
  </si>
  <si>
    <t>04 2 02 S8880</t>
  </si>
  <si>
    <t>Иные вопросы, связанные с общегосударственным управлением</t>
  </si>
  <si>
    <t>98 1 00 21350</t>
  </si>
  <si>
    <t>Расходы на мероприятия в области жилищного хозяйства</t>
  </si>
  <si>
    <t>84 2 00 20200</t>
  </si>
  <si>
    <t>01 2 02 00000</t>
  </si>
  <si>
    <t>01 2 03 00000</t>
  </si>
  <si>
    <t>Приобретение в собственность муниципального образования города Ставрополя земельных участков</t>
  </si>
  <si>
    <t>98 1 00 20140</t>
  </si>
  <si>
    <t>поправка 1</t>
  </si>
  <si>
    <t>Основное мероприятие «Строительство и реконструкция зданий муниципальных  общеобразовательных учреждений на территории города Ставрополя в рамках реализации регионального проекта «Современная школа»</t>
  </si>
  <si>
    <t>Основное мероприятие «Строительство и реконструкция зданий муниципальных  дошкольных  учреждений на территории города Ставрополя в рамках реализации регионального проекта «Содействие занятости»</t>
  </si>
  <si>
    <t>Осуществление отдельных государственных полномочий Ставропольского края по созданию и организации деятельности административных комиссий</t>
  </si>
  <si>
    <t>Осуществление отдельных государственных полномочий Ставропольского края по организации архивного дела в Ставропольском крае</t>
  </si>
  <si>
    <t>МБТ поправка 2</t>
  </si>
  <si>
    <t>Увеличение расходов в части местных средств
поправка 2</t>
  </si>
  <si>
    <t>Организация и обеспечение отдыха и оздоровления детей</t>
  </si>
  <si>
    <t>Выплата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</si>
  <si>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 1 EB 00000</t>
  </si>
  <si>
    <t>Реализация регионального проекта 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</si>
  <si>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</si>
  <si>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EB 51790</t>
  </si>
  <si>
    <t>01 1 E1 00000</t>
  </si>
  <si>
    <t>01 1 E1 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</si>
  <si>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</si>
  <si>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Реализация регионального проекта  «Современная школа»</t>
  </si>
  <si>
    <t>Техническое оснащение региональных и муниципальных музеев</t>
  </si>
  <si>
    <t>Выполнение мероприятий по переводу муниципальных организаций, осуществляющих спортивную подготовку, на реализацию дополнительных образовательных программ спортивной подготовки</t>
  </si>
  <si>
    <t>08 1 05 S6300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</si>
  <si>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эксплуатации сегментов аппаратно-программного комплекса «Безопасный город», приобретение оборудования, расходных материалов и прочие услуги, ремонт видеооборудования и вычислительной техники»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</si>
</sst>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00000"/>
    <numFmt numFmtId="167" formatCode="0000000"/>
    <numFmt numFmtId="168" formatCode="#,##0.00_ ;[Red]\-#,##0.00\ "/>
  </numFmts>
  <fonts count="72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sz val="14"/>
      <color rgb="FF7030A0"/>
      <name val="Arial Cyr"/>
      <charset val="204"/>
    </font>
    <font>
      <sz val="11"/>
      <name val="Arial Cyr"/>
      <charset val="204"/>
    </font>
    <font>
      <sz val="11"/>
      <color rgb="FF0070C0"/>
      <name val="Arial Cyr"/>
      <charset val="204"/>
    </font>
    <font>
      <sz val="14"/>
      <color rgb="FF0070C0"/>
      <name val="Arial Cyr"/>
      <charset val="204"/>
    </font>
    <font>
      <sz val="11"/>
      <color rgb="FF7030A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Arial Cyr"/>
      <charset val="204"/>
    </font>
    <font>
      <b/>
      <sz val="14"/>
      <color theme="5" tint="-0.499984740745262"/>
      <name val="Arial Cyr"/>
      <charset val="204"/>
    </font>
    <font>
      <sz val="14"/>
      <color rgb="FF002060"/>
      <name val="Arial Cyr"/>
      <charset val="204"/>
    </font>
    <font>
      <b/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Arial Cyr"/>
      <charset val="204"/>
    </font>
    <font>
      <sz val="16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FF"/>
      <name val="Times New Roman"/>
      <family val="1"/>
      <charset val="204"/>
    </font>
    <font>
      <sz val="14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9" tint="-0.24997711111789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sz val="12"/>
      <color rgb="FFAC0046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FEF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49">
    <xf numFmtId="0" fontId="0" fillId="0" borderId="0"/>
    <xf numFmtId="0" fontId="16" fillId="0" borderId="0"/>
    <xf numFmtId="0" fontId="20" fillId="0" borderId="0"/>
    <xf numFmtId="0" fontId="20" fillId="0" borderId="0"/>
    <xf numFmtId="164" fontId="15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0" fontId="13" fillId="0" borderId="0"/>
    <xf numFmtId="0" fontId="17" fillId="0" borderId="0"/>
    <xf numFmtId="164" fontId="13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0" fontId="5" fillId="0" borderId="0"/>
    <xf numFmtId="0" fontId="20" fillId="0" borderId="0"/>
    <xf numFmtId="0" fontId="4" fillId="0" borderId="0"/>
    <xf numFmtId="0" fontId="4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16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5" fillId="0" borderId="0"/>
    <xf numFmtId="0" fontId="17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6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7" fillId="0" borderId="0"/>
  </cellStyleXfs>
  <cellXfs count="570">
    <xf numFmtId="0" fontId="0" fillId="0" borderId="0" xfId="0"/>
    <xf numFmtId="0" fontId="17" fillId="0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Alignment="1">
      <alignment horizontal="right"/>
    </xf>
    <xf numFmtId="4" fontId="18" fillId="6" borderId="1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horizontal="right"/>
    </xf>
    <xf numFmtId="0" fontId="18" fillId="6" borderId="1" xfId="0" applyFont="1" applyFill="1" applyBorder="1"/>
    <xf numFmtId="0" fontId="19" fillId="7" borderId="1" xfId="0" applyFont="1" applyFill="1" applyBorder="1"/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Border="1"/>
    <xf numFmtId="0" fontId="25" fillId="7" borderId="0" xfId="0" applyFont="1" applyFill="1" applyBorder="1"/>
    <xf numFmtId="0" fontId="25" fillId="7" borderId="0" xfId="0" applyFont="1" applyFill="1"/>
    <xf numFmtId="0" fontId="25" fillId="11" borderId="0" xfId="0" applyFont="1" applyFill="1" applyBorder="1"/>
    <xf numFmtId="0" fontId="25" fillId="7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6" fillId="8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wrapText="1"/>
    </xf>
    <xf numFmtId="0" fontId="26" fillId="10" borderId="1" xfId="0" applyFont="1" applyFill="1" applyBorder="1" applyAlignment="1">
      <alignment horizontal="left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center" vertical="top"/>
    </xf>
    <xf numFmtId="4" fontId="27" fillId="0" borderId="19" xfId="0" applyNumberFormat="1" applyFont="1" applyFill="1" applyBorder="1" applyAlignment="1">
      <alignment horizontal="right" vertical="top"/>
    </xf>
    <xf numFmtId="0" fontId="26" fillId="8" borderId="1" xfId="0" applyFont="1" applyFill="1" applyBorder="1" applyAlignment="1">
      <alignment horizontal="left" vertical="top" wrapText="1"/>
    </xf>
    <xf numFmtId="49" fontId="26" fillId="8" borderId="1" xfId="0" applyNumberFormat="1" applyFont="1" applyFill="1" applyBorder="1" applyAlignment="1">
      <alignment horizontal="center" vertical="top" wrapText="1"/>
    </xf>
    <xf numFmtId="49" fontId="26" fillId="8" borderId="1" xfId="0" applyNumberFormat="1" applyFont="1" applyFill="1" applyBorder="1" applyAlignment="1">
      <alignment horizontal="center" vertical="top"/>
    </xf>
    <xf numFmtId="4" fontId="26" fillId="8" borderId="1" xfId="0" applyNumberFormat="1" applyFont="1" applyFill="1" applyBorder="1" applyAlignment="1">
      <alignment horizontal="right" vertical="top"/>
    </xf>
    <xf numFmtId="0" fontId="26" fillId="9" borderId="1" xfId="0" applyFont="1" applyFill="1" applyBorder="1" applyAlignment="1">
      <alignment vertical="top" wrapText="1"/>
    </xf>
    <xf numFmtId="49" fontId="26" fillId="9" borderId="1" xfId="0" applyNumberFormat="1" applyFont="1" applyFill="1" applyBorder="1" applyAlignment="1">
      <alignment horizontal="center" vertical="top" wrapText="1"/>
    </xf>
    <xf numFmtId="49" fontId="26" fillId="9" borderId="1" xfId="0" applyNumberFormat="1" applyFont="1" applyFill="1" applyBorder="1" applyAlignment="1">
      <alignment horizontal="center" vertical="top"/>
    </xf>
    <xf numFmtId="4" fontId="26" fillId="9" borderId="1" xfId="0" applyNumberFormat="1" applyFont="1" applyFill="1" applyBorder="1" applyAlignment="1">
      <alignment horizontal="right" vertical="top"/>
    </xf>
    <xf numFmtId="49" fontId="26" fillId="0" borderId="1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/>
    </xf>
    <xf numFmtId="0" fontId="26" fillId="0" borderId="0" xfId="0" applyFont="1" applyFill="1" applyBorder="1"/>
    <xf numFmtId="167" fontId="26" fillId="10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5" fillId="12" borderId="0" xfId="0" applyFont="1" applyFill="1" applyBorder="1"/>
    <xf numFmtId="0" fontId="27" fillId="0" borderId="1" xfId="0" applyFont="1" applyFill="1" applyBorder="1" applyAlignment="1">
      <alignment horizontal="left" vertical="top" wrapText="1"/>
    </xf>
    <xf numFmtId="4" fontId="27" fillId="0" borderId="1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167" fontId="26" fillId="0" borderId="1" xfId="0" applyNumberFormat="1" applyFont="1" applyFill="1" applyBorder="1" applyAlignment="1">
      <alignment horizontal="left" vertical="top" wrapText="1"/>
    </xf>
    <xf numFmtId="166" fontId="26" fillId="0" borderId="1" xfId="0" applyNumberFormat="1" applyFont="1" applyFill="1" applyBorder="1" applyAlignment="1">
      <alignment vertical="top" wrapText="1" shrinkToFit="1"/>
    </xf>
    <xf numFmtId="49" fontId="26" fillId="0" borderId="1" xfId="0" applyNumberFormat="1" applyFont="1" applyFill="1" applyBorder="1" applyAlignment="1">
      <alignment horizontal="left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26" fillId="0" borderId="1" xfId="3" applyNumberFormat="1" applyFont="1" applyFill="1" applyBorder="1" applyAlignment="1" applyProtection="1">
      <alignment horizontal="left" vertical="top" wrapText="1"/>
      <protection hidden="1"/>
    </xf>
    <xf numFmtId="49" fontId="26" fillId="0" borderId="1" xfId="3" applyNumberFormat="1" applyFont="1" applyFill="1" applyBorder="1" applyAlignment="1" applyProtection="1">
      <alignment horizontal="center" vertical="top" wrapText="1"/>
      <protection hidden="1"/>
    </xf>
    <xf numFmtId="0" fontId="26" fillId="10" borderId="1" xfId="0" applyFont="1" applyFill="1" applyBorder="1" applyAlignment="1">
      <alignment horizontal="left" vertical="top" wrapText="1"/>
    </xf>
    <xf numFmtId="0" fontId="29" fillId="0" borderId="0" xfId="0" applyFont="1" applyFill="1" applyBorder="1"/>
    <xf numFmtId="49" fontId="26" fillId="10" borderId="1" xfId="0" applyNumberFormat="1" applyFont="1" applyFill="1" applyBorder="1" applyAlignment="1">
      <alignment horizontal="center" vertical="top" wrapText="1"/>
    </xf>
    <xf numFmtId="49" fontId="26" fillId="10" borderId="1" xfId="0" applyNumberFormat="1" applyFont="1" applyFill="1" applyBorder="1" applyAlignment="1">
      <alignment horizontal="center" vertical="top"/>
    </xf>
    <xf numFmtId="4" fontId="26" fillId="10" borderId="1" xfId="0" applyNumberFormat="1" applyFont="1" applyFill="1" applyBorder="1" applyAlignment="1">
      <alignment horizontal="right" vertical="top"/>
    </xf>
    <xf numFmtId="0" fontId="26" fillId="10" borderId="1" xfId="0" applyFont="1" applyFill="1" applyBorder="1" applyAlignment="1">
      <alignment horizontal="center" vertical="top" wrapText="1"/>
    </xf>
    <xf numFmtId="4" fontId="26" fillId="10" borderId="1" xfId="0" applyNumberFormat="1" applyFont="1" applyFill="1" applyBorder="1" applyAlignment="1">
      <alignment horizontal="right" vertical="top" wrapText="1"/>
    </xf>
    <xf numFmtId="0" fontId="26" fillId="9" borderId="1" xfId="0" applyFont="1" applyFill="1" applyBorder="1" applyAlignment="1">
      <alignment horizontal="center" vertical="top" wrapText="1"/>
    </xf>
    <xf numFmtId="0" fontId="26" fillId="10" borderId="12" xfId="3" applyNumberFormat="1" applyFont="1" applyFill="1" applyBorder="1" applyAlignment="1" applyProtection="1">
      <alignment vertical="top" wrapText="1"/>
      <protection hidden="1"/>
    </xf>
    <xf numFmtId="0" fontId="26" fillId="10" borderId="1" xfId="3" applyNumberFormat="1" applyFont="1" applyFill="1" applyBorder="1" applyAlignment="1" applyProtection="1">
      <alignment vertical="top" wrapText="1"/>
      <protection hidden="1"/>
    </xf>
    <xf numFmtId="0" fontId="26" fillId="0" borderId="0" xfId="0" applyFont="1" applyAlignment="1">
      <alignment horizontal="left" vertical="top" wrapText="1"/>
    </xf>
    <xf numFmtId="0" fontId="26" fillId="10" borderId="1" xfId="0" applyFont="1" applyFill="1" applyBorder="1" applyAlignment="1">
      <alignment vertical="top" wrapText="1"/>
    </xf>
    <xf numFmtId="49" fontId="26" fillId="10" borderId="11" xfId="0" applyNumberFormat="1" applyFont="1" applyFill="1" applyBorder="1" applyAlignment="1">
      <alignment horizontal="center" vertical="top"/>
    </xf>
    <xf numFmtId="4" fontId="26" fillId="10" borderId="11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horizontal="left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center" vertical="top"/>
    </xf>
    <xf numFmtId="4" fontId="26" fillId="10" borderId="1" xfId="4" applyNumberFormat="1" applyFont="1" applyFill="1" applyBorder="1" applyAlignment="1">
      <alignment horizontal="right" vertical="top"/>
    </xf>
    <xf numFmtId="4" fontId="26" fillId="0" borderId="1" xfId="4" applyNumberFormat="1" applyFont="1" applyFill="1" applyBorder="1" applyAlignment="1">
      <alignment horizontal="right" vertical="top"/>
    </xf>
    <xf numFmtId="49" fontId="23" fillId="3" borderId="2" xfId="8" applyNumberFormat="1" applyFont="1" applyFill="1" applyBorder="1" applyAlignment="1">
      <alignment horizontal="center" vertical="center" wrapText="1"/>
    </xf>
    <xf numFmtId="0" fontId="23" fillId="3" borderId="3" xfId="8" applyFont="1" applyFill="1" applyBorder="1" applyAlignment="1">
      <alignment horizontal="center" vertical="center" wrapText="1"/>
    </xf>
    <xf numFmtId="0" fontId="22" fillId="3" borderId="10" xfId="8" applyNumberFormat="1" applyFont="1" applyFill="1" applyBorder="1" applyAlignment="1">
      <alignment horizontal="center" vertical="center" wrapText="1"/>
    </xf>
    <xf numFmtId="49" fontId="24" fillId="0" borderId="6" xfId="8" applyNumberFormat="1" applyFont="1" applyBorder="1" applyAlignment="1">
      <alignment vertical="center"/>
    </xf>
    <xf numFmtId="4" fontId="21" fillId="0" borderId="1" xfId="8" applyNumberFormat="1" applyFont="1" applyBorder="1"/>
    <xf numFmtId="4" fontId="21" fillId="0" borderId="0" xfId="8" applyNumberFormat="1" applyFont="1"/>
    <xf numFmtId="49" fontId="17" fillId="0" borderId="0" xfId="8" applyNumberFormat="1"/>
    <xf numFmtId="0" fontId="25" fillId="13" borderId="0" xfId="0" applyFont="1" applyFill="1" applyBorder="1"/>
    <xf numFmtId="0" fontId="26" fillId="9" borderId="1" xfId="0" applyFont="1" applyFill="1" applyBorder="1" applyAlignment="1">
      <alignment horizontal="left" vertical="top" wrapText="1"/>
    </xf>
    <xf numFmtId="166" fontId="26" fillId="10" borderId="11" xfId="0" applyNumberFormat="1" applyFont="1" applyFill="1" applyBorder="1" applyAlignment="1">
      <alignment vertical="top" wrapText="1" shrinkToFit="1"/>
    </xf>
    <xf numFmtId="49" fontId="26" fillId="10" borderId="1" xfId="0" applyNumberFormat="1" applyFont="1" applyFill="1" applyBorder="1" applyAlignment="1">
      <alignment vertical="top" wrapText="1"/>
    </xf>
    <xf numFmtId="0" fontId="26" fillId="9" borderId="12" xfId="0" applyFont="1" applyFill="1" applyBorder="1" applyAlignment="1">
      <alignment wrapText="1"/>
    </xf>
    <xf numFmtId="49" fontId="26" fillId="10" borderId="1" xfId="0" applyNumberFormat="1" applyFont="1" applyFill="1" applyBorder="1" applyAlignment="1">
      <alignment horizontal="left" vertical="top" wrapText="1"/>
    </xf>
    <xf numFmtId="49" fontId="26" fillId="10" borderId="11" xfId="0" applyNumberFormat="1" applyFont="1" applyFill="1" applyBorder="1" applyAlignment="1">
      <alignment horizontal="center" vertical="top" wrapText="1"/>
    </xf>
    <xf numFmtId="49" fontId="26" fillId="0" borderId="16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5" fillId="0" borderId="0" xfId="7" applyFont="1" applyFill="1" applyBorder="1" applyAlignment="1">
      <alignment vertical="top"/>
    </xf>
    <xf numFmtId="0" fontId="25" fillId="0" borderId="0" xfId="7" applyFont="1" applyFill="1" applyAlignment="1">
      <alignment vertical="top"/>
    </xf>
    <xf numFmtId="0" fontId="26" fillId="0" borderId="0" xfId="0" applyFont="1" applyAlignment="1">
      <alignment vertical="top" wrapText="1"/>
    </xf>
    <xf numFmtId="0" fontId="17" fillId="0" borderId="0" xfId="8"/>
    <xf numFmtId="0" fontId="25" fillId="0" borderId="0" xfId="0" applyFont="1" applyFill="1" applyAlignment="1">
      <alignment horizontal="left" vertical="top"/>
    </xf>
    <xf numFmtId="49" fontId="25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horizontal="right" vertical="top"/>
    </xf>
    <xf numFmtId="0" fontId="25" fillId="0" borderId="0" xfId="3" applyFont="1" applyAlignment="1">
      <alignment vertical="top"/>
    </xf>
    <xf numFmtId="0" fontId="25" fillId="0" borderId="0" xfId="3" applyFont="1" applyAlignment="1" applyProtection="1">
      <alignment vertical="top"/>
      <protection hidden="1"/>
    </xf>
    <xf numFmtId="0" fontId="25" fillId="0" borderId="1" xfId="3" applyNumberFormat="1" applyFont="1" applyFill="1" applyBorder="1" applyAlignment="1" applyProtection="1">
      <alignment horizontal="center" vertical="top" wrapText="1"/>
      <protection hidden="1"/>
    </xf>
    <xf numFmtId="49" fontId="25" fillId="0" borderId="1" xfId="3" applyNumberFormat="1" applyFont="1" applyFill="1" applyBorder="1" applyAlignment="1" applyProtection="1">
      <alignment horizontal="center" vertical="top" wrapText="1"/>
      <protection hidden="1"/>
    </xf>
    <xf numFmtId="0" fontId="18" fillId="0" borderId="0" xfId="3" applyFont="1" applyAlignment="1">
      <alignment vertical="top"/>
    </xf>
    <xf numFmtId="0" fontId="25" fillId="8" borderId="0" xfId="3" applyFont="1" applyFill="1" applyAlignment="1">
      <alignment vertical="top"/>
    </xf>
    <xf numFmtId="0" fontId="18" fillId="8" borderId="0" xfId="3" applyFont="1" applyFill="1" applyAlignment="1">
      <alignment vertical="top"/>
    </xf>
    <xf numFmtId="0" fontId="25" fillId="0" borderId="0" xfId="3" applyFont="1" applyFill="1" applyAlignment="1">
      <alignment vertical="top"/>
    </xf>
    <xf numFmtId="4" fontId="25" fillId="0" borderId="0" xfId="3" applyNumberFormat="1" applyFont="1" applyBorder="1" applyAlignment="1" applyProtection="1">
      <alignment horizontal="right" vertical="top"/>
      <protection hidden="1"/>
    </xf>
    <xf numFmtId="4" fontId="25" fillId="0" borderId="0" xfId="3" applyNumberFormat="1" applyFont="1" applyBorder="1" applyAlignment="1">
      <alignment horizontal="right" vertical="top"/>
    </xf>
    <xf numFmtId="0" fontId="17" fillId="0" borderId="0" xfId="8"/>
    <xf numFmtId="168" fontId="27" fillId="10" borderId="1" xfId="0" applyNumberFormat="1" applyFont="1" applyFill="1" applyBorder="1" applyAlignment="1">
      <alignment horizontal="right" vertical="top"/>
    </xf>
    <xf numFmtId="166" fontId="26" fillId="10" borderId="1" xfId="0" applyNumberFormat="1" applyFont="1" applyFill="1" applyBorder="1" applyAlignment="1">
      <alignment vertical="top" wrapText="1" shrinkToFit="1"/>
    </xf>
    <xf numFmtId="4" fontId="27" fillId="10" borderId="1" xfId="0" applyNumberFormat="1" applyFont="1" applyFill="1" applyBorder="1" applyAlignment="1">
      <alignment horizontal="right" vertical="top"/>
    </xf>
    <xf numFmtId="49" fontId="26" fillId="14" borderId="1" xfId="0" applyNumberFormat="1" applyFont="1" applyFill="1" applyBorder="1" applyAlignment="1">
      <alignment horizontal="center" vertical="top" wrapText="1"/>
    </xf>
    <xf numFmtId="49" fontId="26" fillId="14" borderId="1" xfId="0" applyNumberFormat="1" applyFont="1" applyFill="1" applyBorder="1" applyAlignment="1">
      <alignment horizontal="center" vertical="top"/>
    </xf>
    <xf numFmtId="4" fontId="26" fillId="14" borderId="1" xfId="0" applyNumberFormat="1" applyFont="1" applyFill="1" applyBorder="1" applyAlignment="1">
      <alignment horizontal="right" vertical="top"/>
    </xf>
    <xf numFmtId="0" fontId="26" fillId="14" borderId="1" xfId="0" applyFont="1" applyFill="1" applyBorder="1" applyAlignment="1">
      <alignment horizontal="left" vertical="top" wrapText="1"/>
    </xf>
    <xf numFmtId="4" fontId="26" fillId="14" borderId="1" xfId="0" applyNumberFormat="1" applyFont="1" applyFill="1" applyBorder="1" applyAlignment="1">
      <alignment horizontal="right" vertical="top" wrapText="1"/>
    </xf>
    <xf numFmtId="0" fontId="31" fillId="0" borderId="0" xfId="0" applyFont="1"/>
    <xf numFmtId="4" fontId="25" fillId="0" borderId="0" xfId="3" applyNumberFormat="1" applyFont="1" applyAlignment="1">
      <alignment vertical="top"/>
    </xf>
    <xf numFmtId="4" fontId="19" fillId="7" borderId="1" xfId="0" applyNumberFormat="1" applyFont="1" applyFill="1" applyBorder="1" applyAlignment="1">
      <alignment horizontal="right"/>
    </xf>
    <xf numFmtId="0" fontId="0" fillId="7" borderId="0" xfId="0" applyFill="1"/>
    <xf numFmtId="4" fontId="18" fillId="6" borderId="1" xfId="0" applyNumberFormat="1" applyFont="1" applyFill="1" applyBorder="1"/>
    <xf numFmtId="4" fontId="26" fillId="0" borderId="1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49" fontId="25" fillId="0" borderId="1" xfId="12" applyNumberFormat="1" applyFont="1" applyFill="1" applyBorder="1" applyAlignment="1">
      <alignment horizontal="center" vertical="top" wrapText="1"/>
    </xf>
    <xf numFmtId="49" fontId="18" fillId="0" borderId="1" xfId="3" applyNumberFormat="1" applyFont="1" applyFill="1" applyBorder="1" applyAlignment="1" applyProtection="1">
      <alignment horizontal="center" vertical="top" wrapText="1"/>
      <protection hidden="1"/>
    </xf>
    <xf numFmtId="0" fontId="11" fillId="0" borderId="0" xfId="12" applyAlignment="1">
      <alignment vertical="top"/>
    </xf>
    <xf numFmtId="0" fontId="20" fillId="0" borderId="0" xfId="3" applyFont="1" applyAlignment="1" applyProtection="1">
      <alignment horizontal="left" vertical="top"/>
      <protection hidden="1"/>
    </xf>
    <xf numFmtId="0" fontId="25" fillId="0" borderId="1" xfId="3" applyNumberFormat="1" applyFont="1" applyFill="1" applyBorder="1" applyAlignment="1" applyProtection="1">
      <alignment horizontal="left" vertical="top" wrapText="1"/>
      <protection hidden="1"/>
    </xf>
    <xf numFmtId="0" fontId="18" fillId="0" borderId="1" xfId="3" applyNumberFormat="1" applyFont="1" applyFill="1" applyBorder="1" applyAlignment="1" applyProtection="1">
      <alignment horizontal="left" vertical="top" wrapText="1"/>
      <protection hidden="1"/>
    </xf>
    <xf numFmtId="0" fontId="25" fillId="0" borderId="0" xfId="3" applyFont="1" applyFill="1" applyAlignment="1" applyProtection="1">
      <alignment horizontal="right" vertical="top"/>
      <protection hidden="1"/>
    </xf>
    <xf numFmtId="0" fontId="0" fillId="0" borderId="0" xfId="0" applyAlignment="1">
      <alignment vertical="top"/>
    </xf>
    <xf numFmtId="49" fontId="28" fillId="0" borderId="0" xfId="3" applyNumberFormat="1" applyFont="1" applyFill="1" applyBorder="1" applyAlignment="1" applyProtection="1">
      <alignment horizontal="right" vertical="top"/>
      <protection hidden="1"/>
    </xf>
    <xf numFmtId="4" fontId="28" fillId="0" borderId="1" xfId="3" applyNumberFormat="1" applyFont="1" applyFill="1" applyBorder="1" applyAlignment="1" applyProtection="1">
      <alignment horizontal="right" vertical="top" wrapText="1"/>
      <protection hidden="1"/>
    </xf>
    <xf numFmtId="0" fontId="32" fillId="0" borderId="0" xfId="0" applyFont="1"/>
    <xf numFmtId="49" fontId="25" fillId="0" borderId="0" xfId="0" applyNumberFormat="1" applyFont="1" applyFill="1" applyAlignment="1">
      <alignment vertical="top"/>
    </xf>
    <xf numFmtId="49" fontId="26" fillId="0" borderId="0" xfId="0" applyNumberFormat="1" applyFont="1" applyFill="1" applyAlignment="1">
      <alignment horizontal="right" vertical="top"/>
    </xf>
    <xf numFmtId="49" fontId="26" fillId="0" borderId="0" xfId="0" applyNumberFormat="1" applyFont="1" applyFill="1" applyAlignment="1">
      <alignment horizontal="center" vertical="top"/>
    </xf>
    <xf numFmtId="49" fontId="26" fillId="0" borderId="14" xfId="0" applyNumberFormat="1" applyFont="1" applyFill="1" applyBorder="1" applyAlignment="1">
      <alignment horizontal="center" vertical="top"/>
    </xf>
    <xf numFmtId="49" fontId="26" fillId="0" borderId="9" xfId="0" applyNumberFormat="1" applyFont="1" applyFill="1" applyBorder="1" applyAlignment="1">
      <alignment horizontal="center" vertical="top"/>
    </xf>
    <xf numFmtId="165" fontId="26" fillId="0" borderId="13" xfId="0" applyNumberFormat="1" applyFont="1" applyFill="1" applyBorder="1" applyAlignment="1">
      <alignment horizontal="center" vertical="top"/>
    </xf>
    <xf numFmtId="49" fontId="26" fillId="9" borderId="12" xfId="0" applyNumberFormat="1" applyFont="1" applyFill="1" applyBorder="1" applyAlignment="1">
      <alignment horizontal="center" vertical="top" wrapText="1"/>
    </xf>
    <xf numFmtId="49" fontId="26" fillId="9" borderId="12" xfId="0" applyNumberFormat="1" applyFont="1" applyFill="1" applyBorder="1" applyAlignment="1">
      <alignment horizontal="center" vertical="top"/>
    </xf>
    <xf numFmtId="4" fontId="26" fillId="9" borderId="12" xfId="0" applyNumberFormat="1" applyFont="1" applyFill="1" applyBorder="1" applyAlignment="1">
      <alignment horizontal="right" vertical="top"/>
    </xf>
    <xf numFmtId="49" fontId="25" fillId="7" borderId="0" xfId="0" applyNumberFormat="1" applyFont="1" applyFill="1" applyAlignment="1">
      <alignment horizontal="right" vertical="top"/>
    </xf>
    <xf numFmtId="49" fontId="25" fillId="7" borderId="0" xfId="0" applyNumberFormat="1" applyFont="1" applyFill="1" applyAlignment="1">
      <alignment horizontal="center" vertical="top"/>
    </xf>
    <xf numFmtId="4" fontId="25" fillId="0" borderId="0" xfId="0" applyNumberFormat="1" applyFont="1" applyFill="1" applyAlignment="1">
      <alignment horizontal="right" vertical="top"/>
    </xf>
    <xf numFmtId="4" fontId="25" fillId="7" borderId="0" xfId="0" applyNumberFormat="1" applyFont="1" applyFill="1" applyAlignment="1">
      <alignment vertical="top"/>
    </xf>
    <xf numFmtId="4" fontId="25" fillId="16" borderId="11" xfId="3" applyNumberFormat="1" applyFont="1" applyFill="1" applyBorder="1" applyAlignment="1" applyProtection="1">
      <alignment horizontal="center" vertical="top" wrapText="1"/>
      <protection hidden="1"/>
    </xf>
    <xf numFmtId="4" fontId="25" fillId="17" borderId="11" xfId="3" applyNumberFormat="1" applyFont="1" applyFill="1" applyBorder="1" applyAlignment="1" applyProtection="1">
      <alignment horizontal="center" vertical="top" wrapText="1"/>
      <protection hidden="1"/>
    </xf>
    <xf numFmtId="49" fontId="11" fillId="0" borderId="0" xfId="12" applyNumberForma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20" fillId="0" borderId="0" xfId="3" applyNumberFormat="1" applyFont="1" applyAlignment="1" applyProtection="1">
      <alignment horizontal="center" vertical="top"/>
      <protection hidden="1"/>
    </xf>
    <xf numFmtId="49" fontId="25" fillId="0" borderId="0" xfId="3" applyNumberFormat="1" applyFont="1" applyFill="1" applyAlignment="1" applyProtection="1">
      <alignment horizontal="center" vertical="top"/>
      <protection hidden="1"/>
    </xf>
    <xf numFmtId="0" fontId="30" fillId="0" borderId="0" xfId="12" applyFont="1" applyAlignment="1">
      <alignment horizontal="right" vertical="top"/>
    </xf>
    <xf numFmtId="49" fontId="25" fillId="15" borderId="1" xfId="3" applyNumberFormat="1" applyFont="1" applyFill="1" applyBorder="1" applyAlignment="1" applyProtection="1">
      <alignment horizontal="center" vertical="top" wrapText="1"/>
      <protection hidden="1"/>
    </xf>
    <xf numFmtId="49" fontId="25" fillId="16" borderId="1" xfId="3" applyNumberFormat="1" applyFont="1" applyFill="1" applyBorder="1" applyAlignment="1" applyProtection="1">
      <alignment horizontal="center" vertical="top" wrapText="1"/>
      <protection hidden="1"/>
    </xf>
    <xf numFmtId="49" fontId="25" fillId="17" borderId="1" xfId="3" applyNumberFormat="1" applyFont="1" applyFill="1" applyBorder="1" applyAlignment="1" applyProtection="1">
      <alignment horizontal="center" vertical="top" wrapText="1"/>
      <protection hidden="1"/>
    </xf>
    <xf numFmtId="4" fontId="28" fillId="15" borderId="1" xfId="3" applyNumberFormat="1" applyFont="1" applyFill="1" applyBorder="1" applyAlignment="1" applyProtection="1">
      <alignment horizontal="right" vertical="top" wrapText="1"/>
      <protection hidden="1"/>
    </xf>
    <xf numFmtId="4" fontId="28" fillId="16" borderId="1" xfId="3" applyNumberFormat="1" applyFont="1" applyFill="1" applyBorder="1" applyAlignment="1" applyProtection="1">
      <alignment horizontal="right" vertical="top" wrapText="1"/>
      <protection hidden="1"/>
    </xf>
    <xf numFmtId="4" fontId="28" fillId="17" borderId="1" xfId="3" applyNumberFormat="1" applyFont="1" applyFill="1" applyBorder="1" applyAlignment="1" applyProtection="1">
      <alignment horizontal="right" vertical="top" wrapText="1"/>
      <protection hidden="1"/>
    </xf>
    <xf numFmtId="0" fontId="11" fillId="0" borderId="0" xfId="12" applyAlignment="1">
      <alignment horizontal="right" vertical="top"/>
    </xf>
    <xf numFmtId="0" fontId="0" fillId="0" borderId="0" xfId="0" applyAlignment="1">
      <alignment horizontal="right" vertical="top"/>
    </xf>
    <xf numFmtId="4" fontId="18" fillId="8" borderId="1" xfId="0" applyNumberFormat="1" applyFont="1" applyFill="1" applyBorder="1"/>
    <xf numFmtId="49" fontId="27" fillId="10" borderId="1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0" fontId="28" fillId="0" borderId="0" xfId="13" applyFont="1" applyFill="1" applyAlignment="1">
      <alignment vertical="top"/>
    </xf>
    <xf numFmtId="4" fontId="18" fillId="0" borderId="0" xfId="3" applyNumberFormat="1" applyFont="1" applyAlignment="1">
      <alignment vertical="top"/>
    </xf>
    <xf numFmtId="0" fontId="31" fillId="0" borderId="0" xfId="0" applyFont="1" applyFill="1" applyAlignment="1">
      <alignment vertical="top"/>
    </xf>
    <xf numFmtId="0" fontId="25" fillId="0" borderId="0" xfId="3" applyFont="1" applyBorder="1" applyAlignment="1">
      <alignment vertical="top"/>
    </xf>
    <xf numFmtId="0" fontId="0" fillId="0" borderId="0" xfId="0" applyAlignment="1">
      <alignment vertical="top" wrapText="1"/>
    </xf>
    <xf numFmtId="4" fontId="26" fillId="10" borderId="16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horizontal="center"/>
    </xf>
    <xf numFmtId="4" fontId="0" fillId="0" borderId="0" xfId="0" applyNumberFormat="1" applyFont="1" applyAlignment="1">
      <alignment horizontal="right"/>
    </xf>
    <xf numFmtId="1" fontId="26" fillId="0" borderId="17" xfId="0" applyNumberFormat="1" applyFont="1" applyFill="1" applyBorder="1" applyAlignment="1">
      <alignment vertical="top"/>
    </xf>
    <xf numFmtId="0" fontId="26" fillId="0" borderId="1" xfId="3" applyNumberFormat="1" applyFont="1" applyFill="1" applyBorder="1" applyAlignment="1" applyProtection="1">
      <alignment vertical="top" wrapText="1"/>
      <protection hidden="1"/>
    </xf>
    <xf numFmtId="0" fontId="26" fillId="0" borderId="13" xfId="0" applyFont="1" applyFill="1" applyBorder="1" applyAlignment="1">
      <alignment horizontal="center" vertical="top" wrapText="1"/>
    </xf>
    <xf numFmtId="0" fontId="17" fillId="0" borderId="0" xfId="8"/>
    <xf numFmtId="0" fontId="26" fillId="0" borderId="1" xfId="7" applyFont="1" applyFill="1" applyBorder="1" applyAlignment="1">
      <alignment vertical="top" wrapText="1"/>
    </xf>
    <xf numFmtId="0" fontId="24" fillId="0" borderId="7" xfId="8" applyFont="1" applyBorder="1" applyAlignment="1">
      <alignment horizontal="left" wrapText="1"/>
    </xf>
    <xf numFmtId="0" fontId="26" fillId="0" borderId="1" xfId="7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26" fillId="0" borderId="1" xfId="0" applyFont="1" applyFill="1" applyBorder="1" applyAlignment="1">
      <alignment horizontal="left" vertical="top" wrapText="1"/>
    </xf>
    <xf numFmtId="4" fontId="26" fillId="0" borderId="1" xfId="0" applyNumberFormat="1" applyFont="1" applyFill="1" applyBorder="1" applyAlignment="1">
      <alignment horizontal="right" vertical="top"/>
    </xf>
    <xf numFmtId="0" fontId="25" fillId="0" borderId="0" xfId="3" applyFont="1" applyAlignment="1">
      <alignment horizontal="center" vertical="top"/>
    </xf>
    <xf numFmtId="4" fontId="25" fillId="15" borderId="11" xfId="3" applyNumberFormat="1" applyFont="1" applyFill="1" applyBorder="1" applyAlignment="1" applyProtection="1">
      <alignment horizontal="center" vertical="top" wrapText="1"/>
      <protection hidden="1"/>
    </xf>
    <xf numFmtId="0" fontId="17" fillId="0" borderId="0" xfId="8"/>
    <xf numFmtId="4" fontId="25" fillId="0" borderId="1" xfId="3" applyNumberFormat="1" applyFont="1" applyFill="1" applyBorder="1" applyAlignment="1" applyProtection="1">
      <alignment horizontal="center" vertical="top" wrapText="1"/>
      <protection hidden="1"/>
    </xf>
    <xf numFmtId="0" fontId="10" fillId="0" borderId="0" xfId="13" applyAlignment="1">
      <alignment vertical="top"/>
    </xf>
    <xf numFmtId="0" fontId="10" fillId="0" borderId="0" xfId="13" applyAlignment="1">
      <alignment horizontal="right" vertical="top"/>
    </xf>
    <xf numFmtId="0" fontId="10" fillId="0" borderId="0" xfId="13" applyFill="1" applyAlignment="1">
      <alignment vertical="top"/>
    </xf>
    <xf numFmtId="49" fontId="25" fillId="0" borderId="0" xfId="3" applyNumberFormat="1" applyFont="1" applyFill="1" applyBorder="1" applyAlignment="1" applyProtection="1">
      <alignment horizontal="right" vertical="top"/>
      <protection hidden="1"/>
    </xf>
    <xf numFmtId="49" fontId="25" fillId="0" borderId="0" xfId="3" applyNumberFormat="1" applyFont="1" applyFill="1" applyBorder="1" applyAlignment="1" applyProtection="1">
      <alignment horizontal="center" vertical="top"/>
      <protection hidden="1"/>
    </xf>
    <xf numFmtId="0" fontId="25" fillId="0" borderId="1" xfId="3" applyFont="1" applyBorder="1" applyAlignment="1">
      <alignment horizontal="center" vertical="top"/>
    </xf>
    <xf numFmtId="0" fontId="25" fillId="15" borderId="1" xfId="3" applyFont="1" applyFill="1" applyBorder="1" applyAlignment="1">
      <alignment horizontal="center" vertical="top"/>
    </xf>
    <xf numFmtId="0" fontId="25" fillId="16" borderId="1" xfId="3" applyFont="1" applyFill="1" applyBorder="1" applyAlignment="1">
      <alignment horizontal="center" vertical="top"/>
    </xf>
    <xf numFmtId="0" fontId="25" fillId="0" borderId="0" xfId="3" applyFont="1" applyBorder="1" applyAlignment="1" applyProtection="1">
      <alignment vertical="top"/>
      <protection hidden="1"/>
    </xf>
    <xf numFmtId="0" fontId="25" fillId="0" borderId="0" xfId="3" applyFont="1" applyFill="1" applyBorder="1" applyAlignment="1">
      <alignment vertical="top"/>
    </xf>
    <xf numFmtId="4" fontId="10" fillId="0" borderId="0" xfId="13" applyNumberFormat="1" applyAlignment="1">
      <alignment vertical="top"/>
    </xf>
    <xf numFmtId="4" fontId="30" fillId="0" borderId="0" xfId="13" applyNumberFormat="1" applyFont="1" applyAlignment="1">
      <alignment horizontal="right" vertical="top"/>
    </xf>
    <xf numFmtId="4" fontId="25" fillId="0" borderId="0" xfId="3" applyNumberFormat="1" applyFont="1" applyAlignment="1">
      <alignment horizontal="right" vertical="top"/>
    </xf>
    <xf numFmtId="4" fontId="25" fillId="17" borderId="1" xfId="3" applyNumberFormat="1" applyFont="1" applyFill="1" applyBorder="1" applyAlignment="1" applyProtection="1">
      <alignment vertical="top" wrapText="1"/>
      <protection hidden="1"/>
    </xf>
    <xf numFmtId="4" fontId="25" fillId="0" borderId="0" xfId="3" applyNumberFormat="1" applyFont="1" applyBorder="1" applyAlignment="1">
      <alignment vertical="top"/>
    </xf>
    <xf numFmtId="3" fontId="25" fillId="17" borderId="1" xfId="3" applyNumberFormat="1" applyFont="1" applyFill="1" applyBorder="1" applyAlignment="1">
      <alignment horizontal="center" vertical="top"/>
    </xf>
    <xf numFmtId="4" fontId="25" fillId="16" borderId="1" xfId="3" applyNumberFormat="1" applyFont="1" applyFill="1" applyBorder="1" applyAlignment="1" applyProtection="1">
      <alignment vertical="top" wrapText="1"/>
      <protection hidden="1"/>
    </xf>
    <xf numFmtId="4" fontId="18" fillId="0" borderId="1" xfId="3" applyNumberFormat="1" applyFont="1" applyFill="1" applyBorder="1" applyAlignment="1" applyProtection="1">
      <alignment horizontal="left" vertical="top" wrapText="1"/>
      <protection hidden="1"/>
    </xf>
    <xf numFmtId="4" fontId="32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right" vertical="top"/>
    </xf>
    <xf numFmtId="4" fontId="33" fillId="0" borderId="0" xfId="0" applyNumberFormat="1" applyFont="1" applyAlignment="1">
      <alignment horizontal="right"/>
    </xf>
    <xf numFmtId="0" fontId="33" fillId="0" borderId="0" xfId="0" applyFont="1"/>
    <xf numFmtId="0" fontId="26" fillId="9" borderId="11" xfId="0" applyFont="1" applyFill="1" applyBorder="1" applyAlignment="1">
      <alignment vertical="top" wrapText="1"/>
    </xf>
    <xf numFmtId="49" fontId="26" fillId="9" borderId="11" xfId="0" applyNumberFormat="1" applyFont="1" applyFill="1" applyBorder="1" applyAlignment="1">
      <alignment horizontal="center" vertical="top" wrapText="1"/>
    </xf>
    <xf numFmtId="49" fontId="26" fillId="9" borderId="11" xfId="0" applyNumberFormat="1" applyFont="1" applyFill="1" applyBorder="1" applyAlignment="1">
      <alignment horizontal="center" vertical="top"/>
    </xf>
    <xf numFmtId="4" fontId="26" fillId="9" borderId="11" xfId="0" applyNumberFormat="1" applyFont="1" applyFill="1" applyBorder="1" applyAlignment="1">
      <alignment horizontal="right" vertical="top"/>
    </xf>
    <xf numFmtId="0" fontId="25" fillId="0" borderId="0" xfId="3" applyFont="1" applyAlignment="1">
      <alignment horizontal="center" vertical="top"/>
    </xf>
    <xf numFmtId="49" fontId="25" fillId="0" borderId="12" xfId="3" applyNumberFormat="1" applyFont="1" applyFill="1" applyBorder="1" applyAlignment="1" applyProtection="1">
      <alignment horizontal="center" vertical="top" wrapText="1"/>
      <protection hidden="1"/>
    </xf>
    <xf numFmtId="49" fontId="25" fillId="0" borderId="11" xfId="3" applyNumberFormat="1" applyFont="1" applyFill="1" applyBorder="1" applyAlignment="1" applyProtection="1">
      <alignment horizontal="center" vertical="top" wrapText="1"/>
      <protection hidden="1"/>
    </xf>
    <xf numFmtId="4" fontId="25" fillId="15" borderId="1" xfId="3" applyNumberFormat="1" applyFont="1" applyFill="1" applyBorder="1" applyAlignment="1" applyProtection="1">
      <alignment vertical="top" wrapText="1"/>
      <protection hidden="1"/>
    </xf>
    <xf numFmtId="4" fontId="34" fillId="0" borderId="0" xfId="0" applyNumberFormat="1" applyFont="1" applyAlignment="1">
      <alignment horizontal="center" vertical="top"/>
    </xf>
    <xf numFmtId="4" fontId="35" fillId="0" borderId="0" xfId="0" applyNumberFormat="1" applyFont="1" applyAlignment="1">
      <alignment horizontal="center" vertical="top"/>
    </xf>
    <xf numFmtId="4" fontId="36" fillId="0" borderId="0" xfId="0" applyNumberFormat="1" applyFont="1" applyAlignment="1">
      <alignment horizontal="right" vertical="top"/>
    </xf>
    <xf numFmtId="4" fontId="37" fillId="0" borderId="0" xfId="0" applyNumberFormat="1" applyFont="1" applyAlignment="1">
      <alignment horizontal="center" vertical="top"/>
    </xf>
    <xf numFmtId="0" fontId="25" fillId="0" borderId="0" xfId="3" applyFont="1" applyAlignment="1">
      <alignment horizontal="center" vertical="top"/>
    </xf>
    <xf numFmtId="49" fontId="25" fillId="0" borderId="12" xfId="3" applyNumberFormat="1" applyFont="1" applyFill="1" applyBorder="1" applyAlignment="1" applyProtection="1">
      <alignment horizontal="center" vertical="top" wrapText="1"/>
      <protection hidden="1"/>
    </xf>
    <xf numFmtId="49" fontId="25" fillId="0" borderId="11" xfId="3" applyNumberFormat="1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4" fontId="18" fillId="8" borderId="12" xfId="0" applyNumberFormat="1" applyFont="1" applyFill="1" applyBorder="1" applyAlignment="1">
      <alignment horizontal="center" vertical="top" wrapText="1"/>
    </xf>
    <xf numFmtId="4" fontId="18" fillId="6" borderId="12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right" vertical="top"/>
    </xf>
    <xf numFmtId="0" fontId="26" fillId="0" borderId="1" xfId="3" applyNumberFormat="1" applyFont="1" applyFill="1" applyBorder="1" applyAlignment="1" applyProtection="1">
      <alignment horizontal="center" vertical="top" wrapText="1"/>
      <protection hidden="1"/>
    </xf>
    <xf numFmtId="49" fontId="26" fillId="0" borderId="15" xfId="3" applyNumberFormat="1" applyFont="1" applyFill="1" applyBorder="1" applyAlignment="1" applyProtection="1">
      <alignment horizontal="center" vertical="top" wrapText="1"/>
      <protection hidden="1"/>
    </xf>
    <xf numFmtId="0" fontId="27" fillId="0" borderId="1" xfId="3" applyNumberFormat="1" applyFont="1" applyFill="1" applyBorder="1" applyAlignment="1" applyProtection="1">
      <alignment vertical="top" wrapText="1"/>
      <protection hidden="1"/>
    </xf>
    <xf numFmtId="0" fontId="27" fillId="0" borderId="1" xfId="3" applyNumberFormat="1" applyFont="1" applyFill="1" applyBorder="1" applyAlignment="1" applyProtection="1">
      <alignment horizontal="center" vertical="top" wrapText="1"/>
      <protection hidden="1"/>
    </xf>
    <xf numFmtId="4" fontId="27" fillId="0" borderId="1" xfId="3" applyNumberFormat="1" applyFont="1" applyFill="1" applyBorder="1" applyAlignment="1" applyProtection="1">
      <alignment horizontal="right" vertical="top" wrapText="1"/>
      <protection hidden="1"/>
    </xf>
    <xf numFmtId="0" fontId="26" fillId="8" borderId="1" xfId="7" applyFont="1" applyFill="1" applyBorder="1" applyAlignment="1">
      <alignment vertical="top" wrapText="1"/>
    </xf>
    <xf numFmtId="0" fontId="26" fillId="8" borderId="1" xfId="3" applyNumberFormat="1" applyFont="1" applyFill="1" applyBorder="1" applyAlignment="1" applyProtection="1">
      <alignment horizontal="center" vertical="top" wrapText="1"/>
      <protection hidden="1"/>
    </xf>
    <xf numFmtId="4" fontId="26" fillId="8" borderId="1" xfId="3" applyNumberFormat="1" applyFont="1" applyFill="1" applyBorder="1" applyAlignment="1" applyProtection="1">
      <alignment horizontal="right" vertical="top" wrapText="1"/>
      <protection hidden="1"/>
    </xf>
    <xf numFmtId="0" fontId="26" fillId="0" borderId="1" xfId="7" applyFont="1" applyFill="1" applyBorder="1" applyAlignment="1">
      <alignment horizontal="center" vertical="top"/>
    </xf>
    <xf numFmtId="49" fontId="26" fillId="0" borderId="1" xfId="7" applyNumberFormat="1" applyFont="1" applyFill="1" applyBorder="1" applyAlignment="1">
      <alignment horizontal="center" vertical="top"/>
    </xf>
    <xf numFmtId="4" fontId="26" fillId="0" borderId="1" xfId="7" applyNumberFormat="1" applyFont="1" applyFill="1" applyBorder="1" applyAlignment="1">
      <alignment horizontal="right" vertical="top"/>
    </xf>
    <xf numFmtId="0" fontId="26" fillId="8" borderId="1" xfId="3" applyNumberFormat="1" applyFont="1" applyFill="1" applyBorder="1" applyAlignment="1" applyProtection="1">
      <alignment vertical="top" wrapText="1"/>
      <protection hidden="1"/>
    </xf>
    <xf numFmtId="4" fontId="26" fillId="14" borderId="1" xfId="7" applyNumberFormat="1" applyFont="1" applyFill="1" applyBorder="1" applyAlignment="1">
      <alignment horizontal="right" vertical="top"/>
    </xf>
    <xf numFmtId="0" fontId="26" fillId="10" borderId="1" xfId="7" applyFont="1" applyFill="1" applyBorder="1" applyAlignment="1">
      <alignment horizontal="left" vertical="top" wrapText="1"/>
    </xf>
    <xf numFmtId="4" fontId="26" fillId="0" borderId="1" xfId="9" applyNumberFormat="1" applyFont="1" applyFill="1" applyBorder="1" applyAlignment="1">
      <alignment horizontal="right" vertical="top"/>
    </xf>
    <xf numFmtId="4" fontId="27" fillId="0" borderId="1" xfId="7" applyNumberFormat="1" applyFont="1" applyFill="1" applyBorder="1" applyAlignment="1">
      <alignment horizontal="right" vertical="top"/>
    </xf>
    <xf numFmtId="0" fontId="26" fillId="8" borderId="1" xfId="7" applyFont="1" applyFill="1" applyBorder="1" applyAlignment="1">
      <alignment horizontal="center" vertical="top"/>
    </xf>
    <xf numFmtId="49" fontId="26" fillId="8" borderId="1" xfId="7" applyNumberFormat="1" applyFont="1" applyFill="1" applyBorder="1" applyAlignment="1">
      <alignment horizontal="center" vertical="top"/>
    </xf>
    <xf numFmtId="4" fontId="26" fillId="8" borderId="1" xfId="9" applyNumberFormat="1" applyFont="1" applyFill="1" applyBorder="1" applyAlignment="1">
      <alignment horizontal="right" vertical="top"/>
    </xf>
    <xf numFmtId="49" fontId="26" fillId="8" borderId="1" xfId="7" applyNumberFormat="1" applyFont="1" applyFill="1" applyBorder="1" applyAlignment="1">
      <alignment horizontal="center" vertical="top" wrapText="1"/>
    </xf>
    <xf numFmtId="4" fontId="26" fillId="8" borderId="1" xfId="7" applyNumberFormat="1" applyFont="1" applyFill="1" applyBorder="1" applyAlignment="1">
      <alignment horizontal="right" vertical="top"/>
    </xf>
    <xf numFmtId="49" fontId="26" fillId="0" borderId="1" xfId="7" applyNumberFormat="1" applyFont="1" applyFill="1" applyBorder="1" applyAlignment="1">
      <alignment horizontal="center" vertical="top" wrapText="1"/>
    </xf>
    <xf numFmtId="4" fontId="26" fillId="0" borderId="1" xfId="3" applyNumberFormat="1" applyFont="1" applyFill="1" applyBorder="1" applyAlignment="1" applyProtection="1">
      <alignment horizontal="right" vertical="top" wrapText="1"/>
      <protection hidden="1"/>
    </xf>
    <xf numFmtId="0" fontId="26" fillId="10" borderId="1" xfId="7" applyFont="1" applyFill="1" applyBorder="1" applyAlignment="1">
      <alignment vertical="top" wrapText="1"/>
    </xf>
    <xf numFmtId="0" fontId="26" fillId="0" borderId="0" xfId="7" applyFont="1" applyAlignment="1">
      <alignment vertical="top" wrapText="1"/>
    </xf>
    <xf numFmtId="0" fontId="26" fillId="0" borderId="1" xfId="7" applyFont="1" applyFill="1" applyBorder="1" applyAlignment="1">
      <alignment horizontal="left" vertical="top" wrapText="1"/>
    </xf>
    <xf numFmtId="0" fontId="26" fillId="0" borderId="1" xfId="7" applyFont="1" applyFill="1" applyBorder="1" applyAlignment="1">
      <alignment horizontal="center" vertical="top" wrapText="1"/>
    </xf>
    <xf numFmtId="49" fontId="26" fillId="10" borderId="1" xfId="7" applyNumberFormat="1" applyFont="1" applyFill="1" applyBorder="1" applyAlignment="1">
      <alignment horizontal="center" vertical="top"/>
    </xf>
    <xf numFmtId="49" fontId="26" fillId="0" borderId="1" xfId="7" applyNumberFormat="1" applyFont="1" applyFill="1" applyBorder="1" applyAlignment="1">
      <alignment vertical="top" wrapText="1"/>
    </xf>
    <xf numFmtId="0" fontId="26" fillId="0" borderId="16" xfId="7" applyFont="1" applyBorder="1" applyAlignment="1">
      <alignment vertical="top" wrapText="1"/>
    </xf>
    <xf numFmtId="0" fontId="26" fillId="0" borderId="1" xfId="3" applyFont="1" applyBorder="1" applyAlignment="1" applyProtection="1">
      <alignment vertical="top"/>
      <protection hidden="1"/>
    </xf>
    <xf numFmtId="49" fontId="26" fillId="0" borderId="1" xfId="3" applyNumberFormat="1" applyFont="1" applyBorder="1" applyAlignment="1" applyProtection="1">
      <alignment vertical="top"/>
      <protection hidden="1"/>
    </xf>
    <xf numFmtId="49" fontId="25" fillId="0" borderId="12" xfId="3" applyNumberFormat="1" applyFont="1" applyFill="1" applyBorder="1" applyAlignment="1" applyProtection="1">
      <alignment horizontal="center" vertical="top" wrapText="1"/>
      <protection hidden="1"/>
    </xf>
    <xf numFmtId="0" fontId="38" fillId="0" borderId="0" xfId="12" applyFont="1" applyFill="1" applyAlignment="1">
      <alignment vertical="top"/>
    </xf>
    <xf numFmtId="0" fontId="39" fillId="0" borderId="0" xfId="0" applyFont="1"/>
    <xf numFmtId="0" fontId="39" fillId="0" borderId="0" xfId="0" applyFont="1" applyFill="1" applyAlignment="1">
      <alignment vertical="top"/>
    </xf>
    <xf numFmtId="49" fontId="40" fillId="0" borderId="0" xfId="3" applyNumberFormat="1" applyFont="1" applyFill="1" applyBorder="1" applyAlignment="1" applyProtection="1">
      <alignment horizontal="right" vertical="top"/>
      <protection hidden="1"/>
    </xf>
    <xf numFmtId="49" fontId="40" fillId="0" borderId="1" xfId="3" applyNumberFormat="1" applyFont="1" applyFill="1" applyBorder="1" applyAlignment="1" applyProtection="1">
      <alignment horizontal="center" vertical="top" wrapText="1"/>
      <protection hidden="1"/>
    </xf>
    <xf numFmtId="4" fontId="39" fillId="0" borderId="0" xfId="0" applyNumberFormat="1" applyFont="1" applyFill="1" applyAlignment="1">
      <alignment vertical="top"/>
    </xf>
    <xf numFmtId="1" fontId="26" fillId="0" borderId="17" xfId="0" applyNumberFormat="1" applyFont="1" applyFill="1" applyBorder="1" applyAlignment="1">
      <alignment horizontal="right"/>
    </xf>
    <xf numFmtId="0" fontId="45" fillId="0" borderId="0" xfId="0" applyFont="1" applyAlignment="1">
      <alignment vertical="top"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right" vertical="top"/>
    </xf>
    <xf numFmtId="0" fontId="46" fillId="0" borderId="0" xfId="0" applyFont="1"/>
    <xf numFmtId="4" fontId="31" fillId="0" borderId="0" xfId="0" applyNumberFormat="1" applyFont="1" applyAlignment="1">
      <alignment horizontal="right"/>
    </xf>
    <xf numFmtId="0" fontId="32" fillId="8" borderId="0" xfId="0" applyFont="1" applyFill="1"/>
    <xf numFmtId="4" fontId="32" fillId="8" borderId="0" xfId="0" applyNumberFormat="1" applyFont="1" applyFill="1" applyAlignment="1">
      <alignment horizontal="right"/>
    </xf>
    <xf numFmtId="0" fontId="32" fillId="18" borderId="0" xfId="0" applyFont="1" applyFill="1"/>
    <xf numFmtId="4" fontId="32" fillId="18" borderId="0" xfId="0" applyNumberFormat="1" applyFont="1" applyFill="1" applyAlignment="1">
      <alignment horizontal="right"/>
    </xf>
    <xf numFmtId="0" fontId="32" fillId="9" borderId="0" xfId="0" applyFont="1" applyFill="1"/>
    <xf numFmtId="4" fontId="32" fillId="9" borderId="0" xfId="0" applyNumberFormat="1" applyFont="1" applyFill="1" applyAlignment="1">
      <alignment horizontal="right"/>
    </xf>
    <xf numFmtId="4" fontId="32" fillId="9" borderId="0" xfId="0" applyNumberFormat="1" applyFont="1" applyFill="1"/>
    <xf numFmtId="0" fontId="25" fillId="0" borderId="0" xfId="0" applyFont="1" applyFill="1" applyAlignment="1">
      <alignment horizontal="center" vertical="top"/>
    </xf>
    <xf numFmtId="0" fontId="26" fillId="0" borderId="11" xfId="3" applyNumberFormat="1" applyFont="1" applyFill="1" applyBorder="1" applyAlignment="1" applyProtection="1">
      <alignment horizontal="center" vertical="top" wrapText="1"/>
      <protection hidden="1"/>
    </xf>
    <xf numFmtId="49" fontId="26" fillId="8" borderId="1" xfId="3" applyNumberFormat="1" applyFont="1" applyFill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5" fillId="12" borderId="0" xfId="0" applyFont="1" applyFill="1" applyBorder="1" applyAlignment="1">
      <alignment horizontal="center" vertical="top"/>
    </xf>
    <xf numFmtId="0" fontId="25" fillId="7" borderId="0" xfId="0" applyFont="1" applyFill="1" applyBorder="1" applyAlignment="1">
      <alignment horizontal="center" vertical="top"/>
    </xf>
    <xf numFmtId="0" fontId="25" fillId="14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5" fillId="11" borderId="0" xfId="0" applyFont="1" applyFill="1" applyBorder="1" applyAlignment="1">
      <alignment horizontal="center" vertical="top"/>
    </xf>
    <xf numFmtId="0" fontId="25" fillId="7" borderId="0" xfId="0" applyFont="1" applyFill="1" applyAlignment="1">
      <alignment horizontal="center" vertical="top"/>
    </xf>
    <xf numFmtId="0" fontId="25" fillId="13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42" fillId="0" borderId="1" xfId="0" applyFont="1" applyBorder="1" applyAlignment="1">
      <alignment vertical="top"/>
    </xf>
    <xf numFmtId="4" fontId="40" fillId="0" borderId="1" xfId="0" applyNumberFormat="1" applyFont="1" applyBorder="1" applyAlignment="1">
      <alignment horizontal="center" vertical="top"/>
    </xf>
    <xf numFmtId="4" fontId="25" fillId="17" borderId="1" xfId="3" applyNumberFormat="1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" fontId="17" fillId="3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4" fontId="17" fillId="5" borderId="0" xfId="0" applyNumberFormat="1" applyFont="1" applyFill="1" applyAlignment="1">
      <alignment vertical="center"/>
    </xf>
    <xf numFmtId="4" fontId="47" fillId="0" borderId="0" xfId="0" applyNumberFormat="1" applyFont="1" applyAlignment="1">
      <alignment horizontal="right" vertical="top"/>
    </xf>
    <xf numFmtId="0" fontId="47" fillId="0" borderId="0" xfId="0" applyFont="1" applyAlignment="1">
      <alignment horizontal="right" vertical="top"/>
    </xf>
    <xf numFmtId="49" fontId="40" fillId="16" borderId="1" xfId="3" applyNumberFormat="1" applyFont="1" applyFill="1" applyBorder="1" applyAlignment="1" applyProtection="1">
      <alignment horizontal="center" vertical="top" wrapText="1"/>
      <protection hidden="1"/>
    </xf>
    <xf numFmtId="49" fontId="40" fillId="19" borderId="1" xfId="3" applyNumberFormat="1" applyFont="1" applyFill="1" applyBorder="1" applyAlignment="1" applyProtection="1">
      <alignment horizontal="center" vertical="top" wrapText="1"/>
      <protection hidden="1"/>
    </xf>
    <xf numFmtId="49" fontId="40" fillId="20" borderId="1" xfId="3" applyNumberFormat="1" applyFont="1" applyFill="1" applyBorder="1" applyAlignment="1" applyProtection="1">
      <alignment horizontal="center" vertical="top" wrapText="1"/>
      <protection hidden="1"/>
    </xf>
    <xf numFmtId="4" fontId="32" fillId="8" borderId="0" xfId="0" applyNumberFormat="1" applyFont="1" applyFill="1"/>
    <xf numFmtId="0" fontId="25" fillId="21" borderId="0" xfId="0" applyFont="1" applyFill="1" applyBorder="1"/>
    <xf numFmtId="4" fontId="48" fillId="15" borderId="1" xfId="3" applyNumberFormat="1" applyFont="1" applyFill="1" applyBorder="1" applyAlignment="1" applyProtection="1">
      <alignment horizontal="right" vertical="top" wrapText="1"/>
      <protection hidden="1"/>
    </xf>
    <xf numFmtId="4" fontId="48" fillId="16" borderId="1" xfId="3" applyNumberFormat="1" applyFont="1" applyFill="1" applyBorder="1" applyAlignment="1" applyProtection="1">
      <alignment horizontal="right" vertical="top" wrapText="1"/>
      <protection hidden="1"/>
    </xf>
    <xf numFmtId="4" fontId="48" fillId="17" borderId="1" xfId="3" applyNumberFormat="1" applyFont="1" applyFill="1" applyBorder="1" applyAlignment="1" applyProtection="1">
      <alignment horizontal="right" vertical="top" wrapText="1"/>
      <protection hidden="1"/>
    </xf>
    <xf numFmtId="4" fontId="32" fillId="0" borderId="0" xfId="0" applyNumberFormat="1" applyFont="1" applyAlignment="1">
      <alignment vertical="top"/>
    </xf>
    <xf numFmtId="0" fontId="39" fillId="0" borderId="0" xfId="0" applyFont="1" applyAlignment="1">
      <alignment horizontal="center" vertical="top"/>
    </xf>
    <xf numFmtId="49" fontId="40" fillId="0" borderId="1" xfId="12" applyNumberFormat="1" applyFont="1" applyFill="1" applyBorder="1" applyAlignment="1">
      <alignment horizontal="center" vertical="top" wrapText="1"/>
    </xf>
    <xf numFmtId="49" fontId="41" fillId="0" borderId="1" xfId="3" applyNumberFormat="1" applyFont="1" applyFill="1" applyBorder="1" applyAlignment="1" applyProtection="1">
      <alignment horizontal="center" vertical="top" wrapText="1"/>
      <protection hidden="1"/>
    </xf>
    <xf numFmtId="0" fontId="49" fillId="0" borderId="0" xfId="12" applyFont="1" applyAlignment="1">
      <alignment vertical="top"/>
    </xf>
    <xf numFmtId="0" fontId="50" fillId="0" borderId="0" xfId="0" applyFont="1" applyAlignment="1">
      <alignment vertical="top"/>
    </xf>
    <xf numFmtId="49" fontId="43" fillId="0" borderId="1" xfId="3" applyNumberFormat="1" applyFont="1" applyFill="1" applyBorder="1" applyAlignment="1" applyProtection="1">
      <alignment horizontal="center" vertical="top" wrapText="1"/>
      <protection hidden="1"/>
    </xf>
    <xf numFmtId="0" fontId="44" fillId="0" borderId="1" xfId="3" applyNumberFormat="1" applyFont="1" applyFill="1" applyBorder="1" applyAlignment="1" applyProtection="1">
      <alignment horizontal="left" vertical="top" wrapText="1"/>
      <protection hidden="1"/>
    </xf>
    <xf numFmtId="4" fontId="53" fillId="0" borderId="1" xfId="3" applyNumberFormat="1" applyFont="1" applyFill="1" applyBorder="1" applyAlignment="1" applyProtection="1">
      <alignment horizontal="right" vertical="top" wrapText="1"/>
      <protection hidden="1"/>
    </xf>
    <xf numFmtId="4" fontId="53" fillId="19" borderId="1" xfId="3" applyNumberFormat="1" applyFont="1" applyFill="1" applyBorder="1" applyAlignment="1" applyProtection="1">
      <alignment horizontal="right" vertical="top" wrapText="1"/>
      <protection hidden="1"/>
    </xf>
    <xf numFmtId="4" fontId="53" fillId="16" borderId="1" xfId="3" applyNumberFormat="1" applyFont="1" applyFill="1" applyBorder="1" applyAlignment="1" applyProtection="1">
      <alignment horizontal="right" vertical="top" wrapText="1"/>
      <protection hidden="1"/>
    </xf>
    <xf numFmtId="4" fontId="53" fillId="20" borderId="1" xfId="3" applyNumberFormat="1" applyFont="1" applyFill="1" applyBorder="1" applyAlignment="1" applyProtection="1">
      <alignment horizontal="right" vertical="top" wrapText="1"/>
      <protection hidden="1"/>
    </xf>
    <xf numFmtId="4" fontId="54" fillId="0" borderId="1" xfId="3" applyNumberFormat="1" applyFont="1" applyFill="1" applyBorder="1" applyAlignment="1" applyProtection="1">
      <alignment horizontal="right" vertical="top" wrapText="1"/>
      <protection hidden="1"/>
    </xf>
    <xf numFmtId="4" fontId="54" fillId="19" borderId="1" xfId="3" applyNumberFormat="1" applyFont="1" applyFill="1" applyBorder="1" applyAlignment="1" applyProtection="1">
      <alignment horizontal="right" vertical="top" wrapText="1"/>
      <protection hidden="1"/>
    </xf>
    <xf numFmtId="4" fontId="54" fillId="16" borderId="1" xfId="3" applyNumberFormat="1" applyFont="1" applyFill="1" applyBorder="1" applyAlignment="1" applyProtection="1">
      <alignment horizontal="right" vertical="top" wrapText="1"/>
      <protection hidden="1"/>
    </xf>
    <xf numFmtId="4" fontId="54" fillId="20" borderId="1" xfId="3" applyNumberFormat="1" applyFont="1" applyFill="1" applyBorder="1" applyAlignment="1" applyProtection="1">
      <alignment horizontal="right" vertical="top" wrapText="1"/>
      <protection hidden="1"/>
    </xf>
    <xf numFmtId="0" fontId="51" fillId="0" borderId="1" xfId="3" applyNumberFormat="1" applyFont="1" applyFill="1" applyBorder="1" applyAlignment="1" applyProtection="1">
      <alignment horizontal="left" vertical="top" wrapText="1"/>
      <protection hidden="1"/>
    </xf>
    <xf numFmtId="0" fontId="52" fillId="0" borderId="1" xfId="3" applyNumberFormat="1" applyFont="1" applyFill="1" applyBorder="1" applyAlignment="1" applyProtection="1">
      <alignment horizontal="left" vertical="top" wrapText="1"/>
      <protection hidden="1"/>
    </xf>
    <xf numFmtId="0" fontId="55" fillId="0" borderId="0" xfId="0" applyFont="1" applyAlignment="1">
      <alignment horizontal="right" vertical="top"/>
    </xf>
    <xf numFmtId="4" fontId="25" fillId="15" borderId="11" xfId="3" applyNumberFormat="1" applyFont="1" applyFill="1" applyBorder="1" applyAlignment="1" applyProtection="1">
      <alignment horizontal="center" vertical="top" wrapText="1"/>
      <protection hidden="1"/>
    </xf>
    <xf numFmtId="4" fontId="31" fillId="0" borderId="0" xfId="0" applyNumberFormat="1" applyFont="1"/>
    <xf numFmtId="0" fontId="42" fillId="0" borderId="1" xfId="0" applyFont="1" applyBorder="1" applyAlignment="1">
      <alignment horizontal="center" vertical="top"/>
    </xf>
    <xf numFmtId="0" fontId="18" fillId="0" borderId="0" xfId="3" applyFont="1" applyAlignment="1">
      <alignment horizontal="center" vertical="top"/>
    </xf>
    <xf numFmtId="0" fontId="25" fillId="8" borderId="0" xfId="3" applyFont="1" applyFill="1" applyAlignment="1">
      <alignment horizontal="center" vertical="top"/>
    </xf>
    <xf numFmtId="0" fontId="25" fillId="0" borderId="0" xfId="7" applyFont="1" applyFill="1" applyBorder="1" applyAlignment="1">
      <alignment horizontal="center" vertical="top"/>
    </xf>
    <xf numFmtId="0" fontId="25" fillId="0" borderId="0" xfId="3" applyFont="1" applyFill="1" applyAlignment="1">
      <alignment horizontal="center" vertical="top"/>
    </xf>
    <xf numFmtId="0" fontId="25" fillId="0" borderId="0" xfId="7" applyFont="1" applyFill="1" applyAlignment="1">
      <alignment horizontal="center" vertical="top"/>
    </xf>
    <xf numFmtId="0" fontId="18" fillId="8" borderId="0" xfId="3" applyFont="1" applyFill="1" applyAlignment="1">
      <alignment horizontal="center" vertical="top"/>
    </xf>
    <xf numFmtId="4" fontId="17" fillId="0" borderId="0" xfId="8" applyNumberFormat="1"/>
    <xf numFmtId="0" fontId="32" fillId="9" borderId="0" xfId="0" applyFont="1" applyFill="1" applyAlignment="1">
      <alignment vertical="top"/>
    </xf>
    <xf numFmtId="4" fontId="32" fillId="9" borderId="0" xfId="0" applyNumberFormat="1" applyFont="1" applyFill="1" applyAlignment="1">
      <alignment horizontal="right" vertical="top"/>
    </xf>
    <xf numFmtId="0" fontId="25" fillId="0" borderId="0" xfId="3" applyFont="1" applyAlignment="1">
      <alignment horizontal="center" vertical="top" wrapText="1"/>
    </xf>
    <xf numFmtId="0" fontId="25" fillId="0" borderId="0" xfId="3" applyFont="1" applyAlignment="1">
      <alignment vertical="top" wrapText="1"/>
    </xf>
    <xf numFmtId="4" fontId="25" fillId="15" borderId="11" xfId="3" applyNumberFormat="1" applyFont="1" applyFill="1" applyBorder="1" applyAlignment="1" applyProtection="1">
      <alignment horizontal="center" vertical="top" wrapText="1"/>
      <protection hidden="1"/>
    </xf>
    <xf numFmtId="4" fontId="25" fillId="17" borderId="1" xfId="3" applyNumberFormat="1" applyFont="1" applyFill="1" applyBorder="1" applyAlignment="1" applyProtection="1">
      <alignment horizontal="center" vertical="top" wrapText="1"/>
      <protection hidden="1"/>
    </xf>
    <xf numFmtId="4" fontId="18" fillId="0" borderId="1" xfId="3" applyNumberFormat="1" applyFont="1" applyFill="1" applyBorder="1" applyAlignment="1" applyProtection="1">
      <alignment horizontal="center" vertical="top" wrapText="1"/>
      <protection hidden="1"/>
    </xf>
    <xf numFmtId="4" fontId="18" fillId="15" borderId="1" xfId="3" applyNumberFormat="1" applyFont="1" applyFill="1" applyBorder="1" applyAlignment="1" applyProtection="1">
      <alignment vertical="top" wrapText="1"/>
      <protection hidden="1"/>
    </xf>
    <xf numFmtId="4" fontId="18" fillId="16" borderId="1" xfId="3" applyNumberFormat="1" applyFont="1" applyFill="1" applyBorder="1" applyAlignment="1" applyProtection="1">
      <alignment vertical="top" wrapText="1"/>
      <protection hidden="1"/>
    </xf>
    <xf numFmtId="4" fontId="18" fillId="17" borderId="1" xfId="3" applyNumberFormat="1" applyFont="1" applyFill="1" applyBorder="1" applyAlignment="1" applyProtection="1">
      <alignment vertical="top" wrapText="1"/>
      <protection hidden="1"/>
    </xf>
    <xf numFmtId="49" fontId="25" fillId="0" borderId="0" xfId="3" applyNumberFormat="1" applyFont="1" applyFill="1" applyAlignment="1">
      <alignment vertical="top"/>
    </xf>
    <xf numFmtId="4" fontId="25" fillId="0" borderId="0" xfId="3" applyNumberFormat="1" applyFont="1" applyFill="1" applyBorder="1" applyAlignment="1">
      <alignment horizontal="right" vertical="top"/>
    </xf>
    <xf numFmtId="4" fontId="18" fillId="6" borderId="15" xfId="0" applyNumberFormat="1" applyFont="1" applyFill="1" applyBorder="1" applyAlignment="1">
      <alignment horizontal="right" wrapText="1"/>
    </xf>
    <xf numFmtId="4" fontId="19" fillId="7" borderId="15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/>
    <xf numFmtId="0" fontId="0" fillId="0" borderId="0" xfId="0" applyBorder="1"/>
    <xf numFmtId="0" fontId="18" fillId="6" borderId="1" xfId="0" applyFont="1" applyFill="1" applyBorder="1" applyAlignment="1">
      <alignment horizontal="right"/>
    </xf>
    <xf numFmtId="0" fontId="17" fillId="0" borderId="0" xfId="8"/>
    <xf numFmtId="0" fontId="56" fillId="0" borderId="1" xfId="0" applyFont="1" applyBorder="1" applyAlignment="1">
      <alignment vertical="top" wrapText="1"/>
    </xf>
    <xf numFmtId="4" fontId="56" fillId="0" borderId="1" xfId="0" applyNumberFormat="1" applyFont="1" applyBorder="1" applyAlignment="1">
      <alignment horizontal="center" vertical="top"/>
    </xf>
    <xf numFmtId="0" fontId="36" fillId="0" borderId="0" xfId="0" applyFont="1" applyAlignment="1">
      <alignment vertical="top"/>
    </xf>
    <xf numFmtId="49" fontId="25" fillId="0" borderId="12" xfId="3" applyNumberFormat="1" applyFont="1" applyFill="1" applyBorder="1" applyAlignment="1" applyProtection="1">
      <alignment horizontal="center" vertical="top" wrapText="1"/>
      <protection hidden="1"/>
    </xf>
    <xf numFmtId="49" fontId="18" fillId="0" borderId="12" xfId="3" applyNumberFormat="1" applyFont="1" applyFill="1" applyBorder="1" applyAlignment="1" applyProtection="1">
      <alignment horizontal="center" vertical="top" wrapText="1"/>
      <protection hidden="1"/>
    </xf>
    <xf numFmtId="49" fontId="25" fillId="0" borderId="12" xfId="12" applyNumberFormat="1" applyFont="1" applyFill="1" applyBorder="1" applyAlignment="1">
      <alignment horizontal="center" vertical="top" wrapText="1"/>
    </xf>
    <xf numFmtId="4" fontId="17" fillId="0" borderId="0" xfId="0" applyNumberFormat="1" applyFont="1" applyAlignment="1">
      <alignment vertical="top"/>
    </xf>
    <xf numFmtId="0" fontId="17" fillId="0" borderId="0" xfId="0" applyFont="1"/>
    <xf numFmtId="0" fontId="0" fillId="0" borderId="0" xfId="8" applyFont="1" applyAlignment="1">
      <alignment horizontal="right"/>
    </xf>
    <xf numFmtId="0" fontId="17" fillId="0" borderId="0" xfId="8"/>
    <xf numFmtId="0" fontId="58" fillId="0" borderId="0" xfId="0" applyFont="1" applyFill="1" applyBorder="1"/>
    <xf numFmtId="0" fontId="57" fillId="0" borderId="0" xfId="0" applyFont="1" applyFill="1" applyBorder="1" applyAlignment="1">
      <alignment horizontal="center" vertical="top" wrapText="1"/>
    </xf>
    <xf numFmtId="0" fontId="17" fillId="0" borderId="0" xfId="8"/>
    <xf numFmtId="0" fontId="58" fillId="14" borderId="0" xfId="0" applyFont="1" applyFill="1" applyBorder="1" applyAlignment="1">
      <alignment horizontal="center" vertical="top"/>
    </xf>
    <xf numFmtId="0" fontId="58" fillId="14" borderId="0" xfId="0" applyFont="1" applyFill="1" applyBorder="1"/>
    <xf numFmtId="0" fontId="58" fillId="0" borderId="0" xfId="0" applyFont="1" applyFill="1" applyBorder="1" applyAlignment="1">
      <alignment horizontal="center" vertical="top"/>
    </xf>
    <xf numFmtId="0" fontId="58" fillId="0" borderId="0" xfId="7" applyFont="1" applyFill="1" applyBorder="1" applyAlignment="1">
      <alignment horizontal="center" vertical="top"/>
    </xf>
    <xf numFmtId="0" fontId="58" fillId="0" borderId="0" xfId="7" applyFont="1" applyFill="1" applyBorder="1" applyAlignment="1">
      <alignment vertical="top"/>
    </xf>
    <xf numFmtId="0" fontId="27" fillId="0" borderId="1" xfId="7" applyFont="1" applyFill="1" applyBorder="1" applyAlignment="1">
      <alignment horizontal="center" vertical="top" wrapText="1"/>
    </xf>
    <xf numFmtId="0" fontId="17" fillId="0" borderId="0" xfId="8"/>
    <xf numFmtId="4" fontId="59" fillId="4" borderId="0" xfId="0" applyNumberFormat="1" applyFont="1" applyFill="1" applyAlignment="1">
      <alignment vertical="center"/>
    </xf>
    <xf numFmtId="0" fontId="18" fillId="10" borderId="0" xfId="3" applyFont="1" applyFill="1" applyAlignment="1">
      <alignment horizontal="center" vertical="top"/>
    </xf>
    <xf numFmtId="4" fontId="26" fillId="10" borderId="1" xfId="7" applyNumberFormat="1" applyFont="1" applyFill="1" applyBorder="1" applyAlignment="1">
      <alignment horizontal="right" vertical="top"/>
    </xf>
    <xf numFmtId="0" fontId="18" fillId="10" borderId="0" xfId="3" applyFont="1" applyFill="1" applyAlignment="1">
      <alignment vertical="top"/>
    </xf>
    <xf numFmtId="0" fontId="26" fillId="0" borderId="1" xfId="0" applyNumberFormat="1" applyFont="1" applyFill="1" applyBorder="1" applyAlignment="1">
      <alignment vertical="top" wrapText="1"/>
    </xf>
    <xf numFmtId="4" fontId="32" fillId="0" borderId="0" xfId="0" applyNumberFormat="1" applyFont="1"/>
    <xf numFmtId="4" fontId="0" fillId="0" borderId="0" xfId="0" applyNumberFormat="1" applyAlignment="1">
      <alignment horizontal="center" vertical="top"/>
    </xf>
    <xf numFmtId="49" fontId="23" fillId="20" borderId="4" xfId="8" applyNumberFormat="1" applyFont="1" applyFill="1" applyBorder="1" applyAlignment="1">
      <alignment vertical="center"/>
    </xf>
    <xf numFmtId="0" fontId="23" fillId="20" borderId="5" xfId="8" applyFont="1" applyFill="1" applyBorder="1" applyAlignment="1">
      <alignment horizontal="left" wrapText="1"/>
    </xf>
    <xf numFmtId="4" fontId="22" fillId="20" borderId="11" xfId="8" applyNumberFormat="1" applyFont="1" applyFill="1" applyBorder="1"/>
    <xf numFmtId="49" fontId="23" fillId="20" borderId="6" xfId="8" applyNumberFormat="1" applyFont="1" applyFill="1" applyBorder="1" applyAlignment="1">
      <alignment vertical="center"/>
    </xf>
    <xf numFmtId="0" fontId="23" fillId="20" borderId="7" xfId="8" applyFont="1" applyFill="1" applyBorder="1" applyAlignment="1">
      <alignment horizontal="left" wrapText="1"/>
    </xf>
    <xf numFmtId="4" fontId="22" fillId="20" borderId="1" xfId="8" applyNumberFormat="1" applyFont="1" applyFill="1" applyBorder="1"/>
    <xf numFmtId="49" fontId="22" fillId="20" borderId="8" xfId="8" applyNumberFormat="1" applyFont="1" applyFill="1" applyBorder="1"/>
    <xf numFmtId="0" fontId="22" fillId="20" borderId="9" xfId="8" applyFont="1" applyFill="1" applyBorder="1" applyAlignment="1">
      <alignment horizontal="center"/>
    </xf>
    <xf numFmtId="0" fontId="60" fillId="0" borderId="1" xfId="0" applyFont="1" applyFill="1" applyBorder="1" applyAlignment="1">
      <alignment horizontal="left" vertical="top" wrapText="1"/>
    </xf>
    <xf numFmtId="49" fontId="60" fillId="0" borderId="1" xfId="0" applyNumberFormat="1" applyFont="1" applyFill="1" applyBorder="1" applyAlignment="1">
      <alignment horizontal="center" vertical="top"/>
    </xf>
    <xf numFmtId="49" fontId="61" fillId="0" borderId="1" xfId="0" applyNumberFormat="1" applyFont="1" applyFill="1" applyBorder="1" applyAlignment="1">
      <alignment horizontal="center" vertical="top"/>
    </xf>
    <xf numFmtId="0" fontId="61" fillId="0" borderId="1" xfId="0" applyFont="1" applyFill="1" applyBorder="1" applyAlignment="1">
      <alignment horizontal="center" vertical="top" wrapText="1"/>
    </xf>
    <xf numFmtId="0" fontId="0" fillId="22" borderId="0" xfId="0" applyFill="1"/>
    <xf numFmtId="0" fontId="17" fillId="0" borderId="0" xfId="8"/>
    <xf numFmtId="0" fontId="26" fillId="0" borderId="1" xfId="47" applyFont="1" applyFill="1" applyBorder="1" applyAlignment="1">
      <alignment vertical="top" wrapText="1"/>
    </xf>
    <xf numFmtId="49" fontId="40" fillId="23" borderId="1" xfId="3" applyNumberFormat="1" applyFont="1" applyFill="1" applyBorder="1" applyAlignment="1" applyProtection="1">
      <alignment horizontal="center" vertical="top" wrapText="1"/>
      <protection hidden="1"/>
    </xf>
    <xf numFmtId="4" fontId="53" fillId="23" borderId="1" xfId="3" applyNumberFormat="1" applyFont="1" applyFill="1" applyBorder="1" applyAlignment="1" applyProtection="1">
      <alignment horizontal="right" vertical="top" wrapText="1"/>
      <protection hidden="1"/>
    </xf>
    <xf numFmtId="4" fontId="54" fillId="23" borderId="1" xfId="3" applyNumberFormat="1" applyFont="1" applyFill="1" applyBorder="1" applyAlignment="1" applyProtection="1">
      <alignment horizontal="right" vertical="top" wrapText="1"/>
      <protection hidden="1"/>
    </xf>
    <xf numFmtId="168" fontId="26" fillId="0" borderId="1" xfId="0" applyNumberFormat="1" applyFont="1" applyFill="1" applyBorder="1" applyAlignment="1">
      <alignment horizontal="right" vertical="top"/>
    </xf>
    <xf numFmtId="0" fontId="26" fillId="0" borderId="1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center" vertical="top"/>
    </xf>
    <xf numFmtId="0" fontId="62" fillId="0" borderId="1" xfId="0" applyFont="1" applyBorder="1" applyAlignment="1">
      <alignment vertical="top"/>
    </xf>
    <xf numFmtId="4" fontId="62" fillId="0" borderId="1" xfId="0" applyNumberFormat="1" applyFont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right" vertical="top"/>
    </xf>
    <xf numFmtId="49" fontId="27" fillId="0" borderId="1" xfId="7" applyNumberFormat="1" applyFont="1" applyFill="1" applyBorder="1" applyAlignment="1">
      <alignment horizontal="center" vertical="top" wrapText="1"/>
    </xf>
    <xf numFmtId="49" fontId="27" fillId="0" borderId="1" xfId="7" applyNumberFormat="1" applyFont="1" applyFill="1" applyBorder="1" applyAlignment="1">
      <alignment horizontal="center" vertical="top"/>
    </xf>
    <xf numFmtId="0" fontId="57" fillId="0" borderId="0" xfId="0" applyFont="1" applyFill="1" applyBorder="1"/>
    <xf numFmtId="0" fontId="17" fillId="0" borderId="0" xfId="8"/>
    <xf numFmtId="49" fontId="24" fillId="0" borderId="23" xfId="8" applyNumberFormat="1" applyFont="1" applyBorder="1" applyAlignment="1">
      <alignment vertical="center"/>
    </xf>
    <xf numFmtId="0" fontId="24" fillId="0" borderId="24" xfId="8" applyFont="1" applyBorder="1" applyAlignment="1">
      <alignment horizontal="left" wrapText="1"/>
    </xf>
    <xf numFmtId="4" fontId="21" fillId="0" borderId="12" xfId="8" applyNumberFormat="1" applyFont="1" applyBorder="1"/>
    <xf numFmtId="49" fontId="24" fillId="0" borderId="1" xfId="8" applyNumberFormat="1" applyFont="1" applyBorder="1" applyAlignment="1">
      <alignment vertical="center"/>
    </xf>
    <xf numFmtId="4" fontId="0" fillId="0" borderId="0" xfId="0" applyNumberFormat="1" applyFont="1" applyAlignment="1">
      <alignment horizontal="right"/>
    </xf>
    <xf numFmtId="4" fontId="18" fillId="6" borderId="1" xfId="0" applyNumberFormat="1" applyFont="1" applyFill="1" applyBorder="1"/>
    <xf numFmtId="4" fontId="18" fillId="8" borderId="1" xfId="0" applyNumberFormat="1" applyFont="1" applyFill="1" applyBorder="1"/>
    <xf numFmtId="4" fontId="18" fillId="8" borderId="12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/>
    </xf>
    <xf numFmtId="4" fontId="26" fillId="0" borderId="12" xfId="0" applyNumberFormat="1" applyFont="1" applyFill="1" applyBorder="1" applyAlignment="1">
      <alignment horizontal="right" vertical="top"/>
    </xf>
    <xf numFmtId="0" fontId="17" fillId="0" borderId="0" xfId="8"/>
    <xf numFmtId="0" fontId="42" fillId="0" borderId="1" xfId="0" applyFont="1" applyBorder="1" applyAlignment="1">
      <alignment horizontal="center" vertical="top" wrapText="1"/>
    </xf>
    <xf numFmtId="0" fontId="26" fillId="7" borderId="1" xfId="0" applyFont="1" applyFill="1" applyBorder="1" applyAlignment="1">
      <alignment horizontal="left" vertical="top"/>
    </xf>
    <xf numFmtId="49" fontId="26" fillId="14" borderId="1" xfId="7" applyNumberFormat="1" applyFont="1" applyFill="1" applyBorder="1" applyAlignment="1">
      <alignment horizontal="center" vertical="top"/>
    </xf>
    <xf numFmtId="4" fontId="26" fillId="24" borderId="1" xfId="0" applyNumberFormat="1" applyFont="1" applyFill="1" applyBorder="1" applyAlignment="1">
      <alignment horizontal="right" vertical="top"/>
    </xf>
    <xf numFmtId="4" fontId="26" fillId="24" borderId="1" xfId="0" applyNumberFormat="1" applyFont="1" applyFill="1" applyBorder="1" applyAlignment="1">
      <alignment horizontal="right" vertical="top" wrapText="1"/>
    </xf>
    <xf numFmtId="0" fontId="0" fillId="0" borderId="0" xfId="0" applyFont="1" applyFill="1"/>
    <xf numFmtId="4" fontId="0" fillId="0" borderId="0" xfId="0" applyNumberFormat="1" applyBorder="1" applyAlignment="1">
      <alignment horizontal="center" vertical="top"/>
    </xf>
    <xf numFmtId="4" fontId="18" fillId="0" borderId="1" xfId="0" applyNumberFormat="1" applyFont="1" applyFill="1" applyBorder="1"/>
    <xf numFmtId="0" fontId="34" fillId="0" borderId="0" xfId="0" applyFont="1" applyAlignment="1">
      <alignment vertical="center" wrapText="1"/>
    </xf>
    <xf numFmtId="0" fontId="0" fillId="23" borderId="0" xfId="0" applyFill="1" applyAlignment="1">
      <alignment horizontal="center"/>
    </xf>
    <xf numFmtId="4" fontId="0" fillId="23" borderId="0" xfId="0" applyNumberFormat="1" applyFill="1"/>
    <xf numFmtId="4" fontId="26" fillId="23" borderId="1" xfId="0" applyNumberFormat="1" applyFont="1" applyFill="1" applyBorder="1" applyAlignment="1">
      <alignment horizontal="center" vertical="top" wrapText="1"/>
    </xf>
    <xf numFmtId="4" fontId="26" fillId="23" borderId="1" xfId="0" applyNumberFormat="1" applyFont="1" applyFill="1" applyBorder="1" applyAlignment="1">
      <alignment horizontal="center" vertical="top"/>
    </xf>
    <xf numFmtId="4" fontId="25" fillId="20" borderId="1" xfId="3" applyNumberFormat="1" applyFont="1" applyFill="1" applyBorder="1" applyAlignment="1" applyProtection="1">
      <alignment horizontal="center" vertical="top" wrapText="1"/>
      <protection hidden="1"/>
    </xf>
    <xf numFmtId="4" fontId="25" fillId="20" borderId="11" xfId="3" applyNumberFormat="1" applyFont="1" applyFill="1" applyBorder="1" applyAlignment="1" applyProtection="1">
      <alignment horizontal="center" vertical="top" wrapText="1"/>
      <protection hidden="1"/>
    </xf>
    <xf numFmtId="49" fontId="25" fillId="20" borderId="1" xfId="3" applyNumberFormat="1" applyFont="1" applyFill="1" applyBorder="1" applyAlignment="1" applyProtection="1">
      <alignment horizontal="center" vertical="top" wrapText="1"/>
      <protection hidden="1"/>
    </xf>
    <xf numFmtId="4" fontId="28" fillId="20" borderId="1" xfId="3" applyNumberFormat="1" applyFont="1" applyFill="1" applyBorder="1" applyAlignment="1" applyProtection="1">
      <alignment horizontal="right" vertical="top" wrapText="1"/>
      <protection hidden="1"/>
    </xf>
    <xf numFmtId="4" fontId="28" fillId="0" borderId="0" xfId="3" applyNumberFormat="1" applyFont="1" applyFill="1" applyBorder="1" applyAlignment="1" applyProtection="1">
      <alignment horizontal="right" vertical="top" wrapText="1"/>
      <protection hidden="1"/>
    </xf>
    <xf numFmtId="4" fontId="18" fillId="25" borderId="12" xfId="0" applyNumberFormat="1" applyFont="1" applyFill="1" applyBorder="1" applyAlignment="1">
      <alignment horizontal="center" vertical="top" wrapText="1"/>
    </xf>
    <xf numFmtId="4" fontId="18" fillId="25" borderId="1" xfId="0" applyNumberFormat="1" applyFont="1" applyFill="1" applyBorder="1"/>
    <xf numFmtId="2" fontId="26" fillId="0" borderId="1" xfId="0" applyNumberFormat="1" applyFont="1" applyFill="1" applyBorder="1" applyAlignment="1">
      <alignment horizontal="center" vertical="top"/>
    </xf>
    <xf numFmtId="0" fontId="18" fillId="6" borderId="12" xfId="0" applyFont="1" applyFill="1" applyBorder="1" applyAlignment="1">
      <alignment horizontal="center" vertical="top" wrapText="1"/>
    </xf>
    <xf numFmtId="0" fontId="26" fillId="10" borderId="1" xfId="3" applyNumberFormat="1" applyFont="1" applyFill="1" applyBorder="1" applyAlignment="1" applyProtection="1">
      <alignment horizontal="center" vertical="top" wrapText="1"/>
      <protection hidden="1"/>
    </xf>
    <xf numFmtId="49" fontId="26" fillId="10" borderId="1" xfId="3" applyNumberFormat="1" applyFont="1" applyFill="1" applyBorder="1" applyAlignment="1" applyProtection="1">
      <alignment horizontal="center" vertical="top" wrapText="1"/>
      <protection hidden="1"/>
    </xf>
    <xf numFmtId="0" fontId="26" fillId="10" borderId="0" xfId="0" applyFont="1" applyFill="1" applyAlignment="1">
      <alignment horizontal="left" vertical="top" wrapText="1"/>
    </xf>
    <xf numFmtId="0" fontId="63" fillId="0" borderId="0" xfId="0" applyFont="1" applyFill="1" applyBorder="1"/>
    <xf numFmtId="4" fontId="27" fillId="0" borderId="15" xfId="0" applyNumberFormat="1" applyFont="1" applyFill="1" applyBorder="1" applyAlignment="1">
      <alignment horizontal="right" vertical="top"/>
    </xf>
    <xf numFmtId="4" fontId="26" fillId="26" borderId="1" xfId="0" applyNumberFormat="1" applyFont="1" applyFill="1" applyBorder="1" applyAlignment="1">
      <alignment horizontal="right" vertical="top"/>
    </xf>
    <xf numFmtId="4" fontId="60" fillId="26" borderId="1" xfId="0" applyNumberFormat="1" applyFont="1" applyFill="1" applyBorder="1" applyAlignment="1">
      <alignment horizontal="right" vertical="top"/>
    </xf>
    <xf numFmtId="1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right" vertical="top"/>
    </xf>
    <xf numFmtId="0" fontId="17" fillId="0" borderId="0" xfId="8"/>
    <xf numFmtId="4" fontId="64" fillId="0" borderId="1" xfId="0" applyNumberFormat="1" applyFont="1" applyFill="1" applyBorder="1" applyAlignment="1">
      <alignment vertical="top" wrapText="1"/>
    </xf>
    <xf numFmtId="4" fontId="65" fillId="8" borderId="1" xfId="0" applyNumberFormat="1" applyFont="1" applyFill="1" applyBorder="1"/>
    <xf numFmtId="4" fontId="66" fillId="0" borderId="1" xfId="0" applyNumberFormat="1" applyFont="1" applyFill="1" applyBorder="1" applyAlignment="1">
      <alignment horizontal="right" vertical="top"/>
    </xf>
    <xf numFmtId="4" fontId="67" fillId="0" borderId="15" xfId="0" applyNumberFormat="1" applyFont="1" applyFill="1" applyBorder="1" applyAlignment="1">
      <alignment horizontal="right" vertical="top"/>
    </xf>
    <xf numFmtId="49" fontId="26" fillId="0" borderId="0" xfId="0" applyNumberFormat="1" applyFont="1" applyFill="1" applyBorder="1" applyAlignment="1">
      <alignment horizontal="center" vertical="top"/>
    </xf>
    <xf numFmtId="0" fontId="68" fillId="0" borderId="0" xfId="0" applyFont="1" applyFill="1" applyBorder="1"/>
    <xf numFmtId="49" fontId="60" fillId="0" borderId="1" xfId="0" applyNumberFormat="1" applyFont="1" applyFill="1" applyBorder="1" applyAlignment="1">
      <alignment horizontal="center" vertical="top" wrapText="1"/>
    </xf>
    <xf numFmtId="4" fontId="60" fillId="0" borderId="1" xfId="0" applyNumberFormat="1" applyFont="1" applyFill="1" applyBorder="1" applyAlignment="1">
      <alignment horizontal="right" vertical="top"/>
    </xf>
    <xf numFmtId="49" fontId="40" fillId="0" borderId="12" xfId="3" applyNumberFormat="1" applyFont="1" applyFill="1" applyBorder="1" applyAlignment="1" applyProtection="1">
      <alignment horizontal="center" vertical="top" wrapText="1"/>
      <protection hidden="1"/>
    </xf>
    <xf numFmtId="0" fontId="43" fillId="0" borderId="12" xfId="3" applyNumberFormat="1" applyFont="1" applyFill="1" applyBorder="1" applyAlignment="1" applyProtection="1">
      <alignment horizontal="center" vertical="top" wrapText="1"/>
      <protection hidden="1"/>
    </xf>
    <xf numFmtId="0" fontId="41" fillId="0" borderId="15" xfId="3" applyFont="1" applyBorder="1" applyAlignment="1" applyProtection="1">
      <alignment vertical="top"/>
      <protection hidden="1"/>
    </xf>
    <xf numFmtId="0" fontId="41" fillId="0" borderId="16" xfId="3" applyFont="1" applyBorder="1" applyAlignment="1" applyProtection="1">
      <alignment vertical="top"/>
      <protection hidden="1"/>
    </xf>
    <xf numFmtId="0" fontId="41" fillId="0" borderId="20" xfId="3" applyFont="1" applyBorder="1" applyAlignment="1" applyProtection="1">
      <alignment vertical="top"/>
      <protection hidden="1"/>
    </xf>
    <xf numFmtId="0" fontId="43" fillId="0" borderId="0" xfId="12" applyFont="1" applyFill="1" applyAlignment="1"/>
    <xf numFmtId="0" fontId="26" fillId="27" borderId="1" xfId="0" applyFont="1" applyFill="1" applyBorder="1" applyAlignment="1">
      <alignment horizontal="left" vertical="top" wrapText="1"/>
    </xf>
    <xf numFmtId="49" fontId="26" fillId="27" borderId="1" xfId="0" applyNumberFormat="1" applyFont="1" applyFill="1" applyBorder="1" applyAlignment="1">
      <alignment horizontal="center" vertical="top"/>
    </xf>
    <xf numFmtId="4" fontId="26" fillId="27" borderId="1" xfId="0" applyNumberFormat="1" applyFont="1" applyFill="1" applyBorder="1" applyAlignment="1">
      <alignment horizontal="right" vertical="top"/>
    </xf>
    <xf numFmtId="0" fontId="0" fillId="12" borderId="1" xfId="0" applyFill="1" applyBorder="1"/>
    <xf numFmtId="4" fontId="0" fillId="12" borderId="1" xfId="0" applyNumberFormat="1" applyFill="1" applyBorder="1"/>
    <xf numFmtId="0" fontId="0" fillId="0" borderId="0" xfId="0" applyAlignment="1">
      <alignment horizontal="right"/>
    </xf>
    <xf numFmtId="0" fontId="26" fillId="7" borderId="1" xfId="0" applyFont="1" applyFill="1" applyBorder="1" applyAlignment="1">
      <alignment vertical="top" wrapText="1"/>
    </xf>
    <xf numFmtId="0" fontId="26" fillId="7" borderId="1" xfId="0" applyFont="1" applyFill="1" applyBorder="1" applyAlignment="1">
      <alignment horizontal="left" vertical="top" wrapText="1"/>
    </xf>
    <xf numFmtId="0" fontId="26" fillId="28" borderId="1" xfId="0" applyFont="1" applyFill="1" applyBorder="1" applyAlignment="1">
      <alignment horizontal="left" vertical="top" wrapText="1"/>
    </xf>
    <xf numFmtId="0" fontId="26" fillId="28" borderId="1" xfId="648" applyFont="1" applyFill="1" applyBorder="1" applyAlignment="1">
      <alignment horizontal="left" vertical="top" wrapText="1"/>
    </xf>
    <xf numFmtId="49" fontId="26" fillId="28" borderId="1" xfId="0" applyNumberFormat="1" applyFont="1" applyFill="1" applyBorder="1" applyAlignment="1">
      <alignment horizontal="center" vertical="top" wrapText="1"/>
    </xf>
    <xf numFmtId="0" fontId="69" fillId="0" borderId="0" xfId="0" applyFont="1" applyFill="1"/>
    <xf numFmtId="0" fontId="69" fillId="0" borderId="0" xfId="0" applyFont="1" applyFill="1" applyBorder="1"/>
    <xf numFmtId="0" fontId="69" fillId="7" borderId="0" xfId="0" applyFont="1" applyFill="1"/>
    <xf numFmtId="0" fontId="70" fillId="0" borderId="0" xfId="0" applyFont="1" applyFill="1"/>
    <xf numFmtId="0" fontId="70" fillId="0" borderId="0" xfId="0" applyFont="1" applyFill="1" applyBorder="1"/>
    <xf numFmtId="0" fontId="70" fillId="7" borderId="0" xfId="0" applyFont="1" applyFill="1"/>
    <xf numFmtId="0" fontId="68" fillId="0" borderId="0" xfId="0" applyFont="1" applyFill="1"/>
    <xf numFmtId="0" fontId="68" fillId="7" borderId="0" xfId="0" applyFont="1" applyFill="1"/>
    <xf numFmtId="0" fontId="71" fillId="0" borderId="0" xfId="0" applyFont="1" applyFill="1"/>
    <xf numFmtId="0" fontId="71" fillId="0" borderId="0" xfId="0" applyFont="1" applyFill="1" applyBorder="1"/>
    <xf numFmtId="0" fontId="71" fillId="7" borderId="0" xfId="0" applyFont="1" applyFill="1"/>
    <xf numFmtId="0" fontId="0" fillId="28" borderId="0" xfId="0" applyFill="1" applyAlignment="1">
      <alignment horizontal="right"/>
    </xf>
    <xf numFmtId="0" fontId="0" fillId="28" borderId="0" xfId="0" applyFill="1"/>
    <xf numFmtId="49" fontId="26" fillId="28" borderId="1" xfId="7" applyNumberFormat="1" applyFont="1" applyFill="1" applyBorder="1" applyAlignment="1">
      <alignment horizontal="center" vertical="top"/>
    </xf>
    <xf numFmtId="4" fontId="26" fillId="28" borderId="1" xfId="7" applyNumberFormat="1" applyFont="1" applyFill="1" applyBorder="1" applyAlignment="1">
      <alignment horizontal="right" vertical="top"/>
    </xf>
    <xf numFmtId="4" fontId="26" fillId="28" borderId="1" xfId="9" applyNumberFormat="1" applyFont="1" applyFill="1" applyBorder="1" applyAlignment="1">
      <alignment horizontal="right" vertical="top"/>
    </xf>
    <xf numFmtId="0" fontId="26" fillId="28" borderId="1" xfId="7" applyFont="1" applyFill="1" applyBorder="1" applyAlignment="1">
      <alignment vertical="top" wrapText="1"/>
    </xf>
    <xf numFmtId="166" fontId="26" fillId="28" borderId="1" xfId="0" applyNumberFormat="1" applyFont="1" applyFill="1" applyBorder="1" applyAlignment="1">
      <alignment vertical="top" wrapText="1" shrinkToFit="1"/>
    </xf>
    <xf numFmtId="49" fontId="26" fillId="28" borderId="1" xfId="0" applyNumberFormat="1" applyFont="1" applyFill="1" applyBorder="1" applyAlignment="1">
      <alignment horizontal="center" vertical="top"/>
    </xf>
    <xf numFmtId="4" fontId="26" fillId="28" borderId="1" xfId="0" applyNumberFormat="1" applyFont="1" applyFill="1" applyBorder="1" applyAlignment="1">
      <alignment horizontal="right" vertical="top"/>
    </xf>
    <xf numFmtId="0" fontId="26" fillId="28" borderId="1" xfId="0" applyFont="1" applyFill="1" applyBorder="1" applyAlignment="1">
      <alignment horizontal="center" vertical="top"/>
    </xf>
    <xf numFmtId="0" fontId="0" fillId="7" borderId="0" xfId="0" applyFill="1" applyAlignment="1">
      <alignment horizontal="right"/>
    </xf>
    <xf numFmtId="0" fontId="26" fillId="26" borderId="1" xfId="0" applyFont="1" applyFill="1" applyBorder="1" applyAlignment="1">
      <alignment vertical="top" wrapText="1"/>
    </xf>
    <xf numFmtId="0" fontId="26" fillId="26" borderId="1" xfId="0" applyFont="1" applyFill="1" applyBorder="1" applyAlignment="1">
      <alignment horizontal="left" vertical="top" wrapText="1"/>
    </xf>
    <xf numFmtId="0" fontId="26" fillId="19" borderId="1" xfId="0" applyFont="1" applyFill="1" applyBorder="1" applyAlignment="1">
      <alignment horizontal="left" vertical="top" wrapText="1"/>
    </xf>
    <xf numFmtId="49" fontId="26" fillId="19" borderId="1" xfId="0" applyNumberFormat="1" applyFont="1" applyFill="1" applyBorder="1" applyAlignment="1">
      <alignment horizontal="center" vertical="top"/>
    </xf>
    <xf numFmtId="49" fontId="26" fillId="19" borderId="1" xfId="0" applyNumberFormat="1" applyFont="1" applyFill="1" applyBorder="1" applyAlignment="1">
      <alignment horizontal="center" vertical="top" wrapText="1"/>
    </xf>
    <xf numFmtId="4" fontId="26" fillId="19" borderId="1" xfId="0" applyNumberFormat="1" applyFont="1" applyFill="1" applyBorder="1" applyAlignment="1">
      <alignment horizontal="right" vertical="top" wrapText="1"/>
    </xf>
    <xf numFmtId="4" fontId="27" fillId="0" borderId="0" xfId="3" applyNumberFormat="1" applyFont="1" applyFill="1" applyBorder="1" applyAlignment="1" applyProtection="1">
      <alignment horizontal="right" vertical="top" wrapText="1"/>
      <protection hidden="1"/>
    </xf>
    <xf numFmtId="165" fontId="26" fillId="0" borderId="0" xfId="0" applyNumberFormat="1" applyFont="1" applyFill="1" applyBorder="1" applyAlignment="1">
      <alignment horizontal="center" vertical="top"/>
    </xf>
    <xf numFmtId="4" fontId="26" fillId="0" borderId="0" xfId="7" applyNumberFormat="1" applyFont="1" applyFill="1" applyBorder="1" applyAlignment="1">
      <alignment horizontal="right" vertical="top"/>
    </xf>
    <xf numFmtId="4" fontId="26" fillId="0" borderId="0" xfId="0" applyNumberFormat="1" applyFont="1" applyFill="1" applyBorder="1" applyAlignment="1">
      <alignment horizontal="right" vertical="top"/>
    </xf>
    <xf numFmtId="4" fontId="26" fillId="0" borderId="0" xfId="3" applyNumberFormat="1" applyFont="1" applyFill="1" applyBorder="1" applyAlignment="1" applyProtection="1">
      <alignment horizontal="right" vertical="top" wrapText="1"/>
      <protection hidden="1"/>
    </xf>
    <xf numFmtId="4" fontId="26" fillId="0" borderId="16" xfId="7" applyNumberFormat="1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0" fontId="26" fillId="0" borderId="1" xfId="648" applyFont="1" applyFill="1" applyBorder="1" applyAlignment="1">
      <alignment horizontal="left" vertical="top" wrapText="1"/>
    </xf>
    <xf numFmtId="0" fontId="26" fillId="29" borderId="1" xfId="0" applyFont="1" applyFill="1" applyBorder="1" applyAlignment="1">
      <alignment vertical="top" wrapText="1"/>
    </xf>
    <xf numFmtId="49" fontId="26" fillId="29" borderId="1" xfId="0" applyNumberFormat="1" applyFont="1" applyFill="1" applyBorder="1" applyAlignment="1">
      <alignment horizontal="center" vertical="top" wrapText="1"/>
    </xf>
    <xf numFmtId="49" fontId="26" fillId="29" borderId="1" xfId="0" applyNumberFormat="1" applyFont="1" applyFill="1" applyBorder="1" applyAlignment="1">
      <alignment horizontal="center" vertical="top"/>
    </xf>
    <xf numFmtId="0" fontId="17" fillId="0" borderId="0" xfId="8"/>
    <xf numFmtId="0" fontId="17" fillId="0" borderId="0" xfId="8" applyAlignment="1">
      <alignment horizontal="right"/>
    </xf>
    <xf numFmtId="0" fontId="28" fillId="0" borderId="0" xfId="12" applyFont="1" applyFill="1" applyAlignment="1">
      <alignment horizontal="center"/>
    </xf>
    <xf numFmtId="0" fontId="41" fillId="0" borderId="1" xfId="3" applyFont="1" applyBorder="1" applyAlignment="1" applyProtection="1">
      <alignment horizontal="center" vertical="top"/>
      <protection hidden="1"/>
    </xf>
    <xf numFmtId="0" fontId="25" fillId="0" borderId="15" xfId="3" applyNumberFormat="1" applyFont="1" applyFill="1" applyBorder="1" applyAlignment="1" applyProtection="1">
      <alignment horizontal="center" vertical="top" wrapText="1"/>
      <protection hidden="1"/>
    </xf>
    <xf numFmtId="0" fontId="25" fillId="0" borderId="16" xfId="3" applyNumberFormat="1" applyFont="1" applyFill="1" applyBorder="1" applyAlignment="1" applyProtection="1">
      <alignment horizontal="center" vertical="top" wrapText="1"/>
      <protection hidden="1"/>
    </xf>
    <xf numFmtId="49" fontId="25" fillId="0" borderId="12" xfId="3" applyNumberFormat="1" applyFont="1" applyFill="1" applyBorder="1" applyAlignment="1" applyProtection="1">
      <alignment horizontal="center" vertical="top" wrapText="1"/>
      <protection hidden="1"/>
    </xf>
    <xf numFmtId="49" fontId="25" fillId="0" borderId="11" xfId="3" applyNumberFormat="1" applyFont="1" applyFill="1" applyBorder="1" applyAlignment="1" applyProtection="1">
      <alignment horizontal="center" vertical="top" wrapText="1"/>
      <protection hidden="1"/>
    </xf>
    <xf numFmtId="0" fontId="25" fillId="0" borderId="12" xfId="3" applyNumberFormat="1" applyFont="1" applyFill="1" applyBorder="1" applyAlignment="1" applyProtection="1">
      <alignment horizontal="center" vertical="top" wrapText="1"/>
      <protection hidden="1"/>
    </xf>
    <xf numFmtId="0" fontId="25" fillId="0" borderId="11" xfId="3" applyNumberFormat="1" applyFont="1" applyFill="1" applyBorder="1" applyAlignment="1" applyProtection="1">
      <alignment horizontal="center" vertical="top" wrapText="1"/>
      <protection hidden="1"/>
    </xf>
    <xf numFmtId="4" fontId="25" fillId="15" borderId="12" xfId="3" applyNumberFormat="1" applyFont="1" applyFill="1" applyBorder="1" applyAlignment="1" applyProtection="1">
      <alignment horizontal="center" vertical="top" wrapText="1"/>
      <protection hidden="1"/>
    </xf>
    <xf numFmtId="4" fontId="25" fillId="15" borderId="11" xfId="3" applyNumberFormat="1" applyFont="1" applyFill="1" applyBorder="1" applyAlignment="1" applyProtection="1">
      <alignment horizontal="center" vertical="top" wrapText="1"/>
      <protection hidden="1"/>
    </xf>
    <xf numFmtId="4" fontId="25" fillId="17" borderId="1" xfId="3" applyNumberFormat="1" applyFont="1" applyFill="1" applyBorder="1" applyAlignment="1" applyProtection="1">
      <alignment horizontal="center" vertical="top" wrapText="1"/>
      <protection hidden="1"/>
    </xf>
    <xf numFmtId="4" fontId="25" fillId="15" borderId="15" xfId="3" applyNumberFormat="1" applyFont="1" applyFill="1" applyBorder="1" applyAlignment="1" applyProtection="1">
      <alignment horizontal="center" vertical="top" wrapText="1"/>
      <protection hidden="1"/>
    </xf>
    <xf numFmtId="4" fontId="25" fillId="15" borderId="20" xfId="3" applyNumberFormat="1" applyFont="1" applyFill="1" applyBorder="1" applyAlignment="1" applyProtection="1">
      <alignment horizontal="center" vertical="top" wrapText="1"/>
      <protection hidden="1"/>
    </xf>
    <xf numFmtId="4" fontId="25" fillId="17" borderId="21" xfId="3" applyNumberFormat="1" applyFont="1" applyFill="1" applyBorder="1" applyAlignment="1" applyProtection="1">
      <alignment horizontal="center" vertical="top" wrapText="1"/>
      <protection hidden="1"/>
    </xf>
    <xf numFmtId="4" fontId="25" fillId="17" borderId="22" xfId="3" applyNumberFormat="1" applyFont="1" applyFill="1" applyBorder="1" applyAlignment="1" applyProtection="1">
      <alignment horizontal="center" vertical="top" wrapText="1"/>
      <protection hidden="1"/>
    </xf>
    <xf numFmtId="4" fontId="25" fillId="16" borderId="15" xfId="3" applyNumberFormat="1" applyFont="1" applyFill="1" applyBorder="1" applyAlignment="1" applyProtection="1">
      <alignment horizontal="center" vertical="top" wrapText="1"/>
      <protection hidden="1"/>
    </xf>
    <xf numFmtId="4" fontId="25" fillId="16" borderId="20" xfId="3" applyNumberFormat="1" applyFont="1" applyFill="1" applyBorder="1" applyAlignment="1" applyProtection="1">
      <alignment horizontal="center" vertical="top" wrapText="1"/>
      <protection hidden="1"/>
    </xf>
    <xf numFmtId="4" fontId="25" fillId="15" borderId="16" xfId="3" applyNumberFormat="1" applyFont="1" applyFill="1" applyBorder="1" applyAlignment="1" applyProtection="1">
      <alignment horizontal="center" vertical="top" wrapText="1"/>
      <protection hidden="1"/>
    </xf>
    <xf numFmtId="4" fontId="25" fillId="16" borderId="16" xfId="3" applyNumberFormat="1" applyFont="1" applyFill="1" applyBorder="1" applyAlignment="1" applyProtection="1">
      <alignment horizontal="center" vertical="top" wrapText="1"/>
      <protection hidden="1"/>
    </xf>
    <xf numFmtId="4" fontId="25" fillId="20" borderId="1" xfId="3" applyNumberFormat="1" applyFont="1" applyFill="1" applyBorder="1" applyAlignment="1" applyProtection="1">
      <alignment horizontal="center" vertical="top" wrapText="1"/>
      <protection hidden="1"/>
    </xf>
    <xf numFmtId="4" fontId="25" fillId="20" borderId="15" xfId="3" applyNumberFormat="1" applyFont="1" applyFill="1" applyBorder="1" applyAlignment="1" applyProtection="1">
      <alignment horizontal="center" vertical="top" wrapText="1"/>
      <protection hidden="1"/>
    </xf>
    <xf numFmtId="4" fontId="25" fillId="20" borderId="16" xfId="3" applyNumberFormat="1" applyFont="1" applyFill="1" applyBorder="1" applyAlignment="1" applyProtection="1">
      <alignment horizontal="center" vertical="top" wrapText="1"/>
      <protection hidden="1"/>
    </xf>
    <xf numFmtId="0" fontId="28" fillId="0" borderId="0" xfId="13" applyFont="1" applyFill="1" applyAlignment="1">
      <alignment horizontal="center" vertical="top"/>
    </xf>
    <xf numFmtId="0" fontId="28" fillId="0" borderId="0" xfId="13" applyFont="1" applyFill="1" applyAlignment="1">
      <alignment horizontal="center" vertical="top" wrapText="1"/>
    </xf>
    <xf numFmtId="0" fontId="25" fillId="0" borderId="12" xfId="3" applyFont="1" applyBorder="1" applyAlignment="1">
      <alignment horizontal="center" vertical="top"/>
    </xf>
    <xf numFmtId="0" fontId="25" fillId="0" borderId="11" xfId="3" applyFont="1" applyBorder="1" applyAlignment="1">
      <alignment horizontal="center" vertical="top"/>
    </xf>
    <xf numFmtId="4" fontId="25" fillId="17" borderId="15" xfId="3" applyNumberFormat="1" applyFont="1" applyFill="1" applyBorder="1" applyAlignment="1" applyProtection="1">
      <alignment horizontal="center" vertical="top" wrapText="1"/>
      <protection hidden="1"/>
    </xf>
    <xf numFmtId="4" fontId="25" fillId="17" borderId="16" xfId="3" applyNumberFormat="1" applyFont="1" applyFill="1" applyBorder="1" applyAlignment="1" applyProtection="1">
      <alignment horizontal="center" vertical="top" wrapText="1"/>
      <protection hidden="1"/>
    </xf>
    <xf numFmtId="0" fontId="0" fillId="12" borderId="15" xfId="0" applyFill="1" applyBorder="1" applyAlignment="1">
      <alignment horizontal="left" wrapText="1"/>
    </xf>
    <xf numFmtId="0" fontId="0" fillId="12" borderId="16" xfId="0" applyFill="1" applyBorder="1" applyAlignment="1">
      <alignment horizontal="left" wrapText="1"/>
    </xf>
  </cellXfs>
  <cellStyles count="649">
    <cellStyle name="Обычный" xfId="0" builtinId="0"/>
    <cellStyle name="Обычный 10" xfId="50"/>
    <cellStyle name="Обычный 10 2" xfId="477"/>
    <cellStyle name="Обычный 10 2 2" xfId="571"/>
    <cellStyle name="Обычный 10 3" xfId="539"/>
    <cellStyle name="Обычный 10 4" xfId="602"/>
    <cellStyle name="Обычный 11" xfId="51"/>
    <cellStyle name="Обычный 12" xfId="49"/>
    <cellStyle name="Обычный 12 2" xfId="538"/>
    <cellStyle name="Обычный 12 2 2" xfId="646"/>
    <cellStyle name="Обычный 12 3" xfId="645"/>
    <cellStyle name="Обычный 12 4" xfId="647"/>
    <cellStyle name="Обычный 13" xfId="476"/>
    <cellStyle name="Обычный 13 2" xfId="570"/>
    <cellStyle name="Обычный 14" xfId="648"/>
    <cellStyle name="Обычный 2" xfId="5"/>
    <cellStyle name="Обычный 2 10" xfId="48"/>
    <cellStyle name="Обычный 2 10 2" xfId="52"/>
    <cellStyle name="Обычный 2 10 3" xfId="53"/>
    <cellStyle name="Обычный 2 10 4" xfId="54"/>
    <cellStyle name="Обычный 2 10 5" xfId="55"/>
    <cellStyle name="Обычный 2 10 6" xfId="56"/>
    <cellStyle name="Обычный 2 100" xfId="57"/>
    <cellStyle name="Обычный 2 101" xfId="58"/>
    <cellStyle name="Обычный 2 101 2" xfId="59"/>
    <cellStyle name="Обычный 2 102" xfId="33"/>
    <cellStyle name="Обычный 2 103" xfId="60"/>
    <cellStyle name="Обычный 2 103 2" xfId="61"/>
    <cellStyle name="Обычный 2 104" xfId="62"/>
    <cellStyle name="Обычный 2 104 2" xfId="63"/>
    <cellStyle name="Обычный 2 105" xfId="64"/>
    <cellStyle name="Обычный 2 105 2" xfId="65"/>
    <cellStyle name="Обычный 2 106" xfId="34"/>
    <cellStyle name="Обычный 2 107" xfId="66"/>
    <cellStyle name="Обычный 2 108" xfId="67"/>
    <cellStyle name="Обычный 2 109" xfId="68"/>
    <cellStyle name="Обычный 2 11" xfId="69"/>
    <cellStyle name="Обычный 2 11 2" xfId="70"/>
    <cellStyle name="Обычный 2 11 3" xfId="71"/>
    <cellStyle name="Обычный 2 11 4" xfId="72"/>
    <cellStyle name="Обычный 2 11 5" xfId="73"/>
    <cellStyle name="Обычный 2 11 6" xfId="74"/>
    <cellStyle name="Обычный 2 110" xfId="75"/>
    <cellStyle name="Обычный 2 111" xfId="76"/>
    <cellStyle name="Обычный 2 112" xfId="77"/>
    <cellStyle name="Обычный 2 113" xfId="78"/>
    <cellStyle name="Обычный 2 113 2" xfId="79"/>
    <cellStyle name="Обычный 2 114" xfId="80"/>
    <cellStyle name="Обычный 2 115" xfId="81"/>
    <cellStyle name="Обычный 2 116" xfId="82"/>
    <cellStyle name="Обычный 2 117" xfId="83"/>
    <cellStyle name="Обычный 2 118" xfId="84"/>
    <cellStyle name="Обычный 2 118 2" xfId="85"/>
    <cellStyle name="Обычный 2 119" xfId="86"/>
    <cellStyle name="Обычный 2 12" xfId="87"/>
    <cellStyle name="Обычный 2 12 2" xfId="88"/>
    <cellStyle name="Обычный 2 12 3" xfId="89"/>
    <cellStyle name="Обычный 2 12 4" xfId="90"/>
    <cellStyle name="Обычный 2 12 5" xfId="91"/>
    <cellStyle name="Обычный 2 12 6" xfId="92"/>
    <cellStyle name="Обычный 2 120" xfId="93"/>
    <cellStyle name="Обычный 2 121" xfId="94"/>
    <cellStyle name="Обычный 2 122" xfId="95"/>
    <cellStyle name="Обычный 2 123" xfId="96"/>
    <cellStyle name="Обычный 2 124" xfId="97"/>
    <cellStyle name="Обычный 2 125" xfId="98"/>
    <cellStyle name="Обычный 2 125 2" xfId="99"/>
    <cellStyle name="Обычный 2 126" xfId="100"/>
    <cellStyle name="Обычный 2 127" xfId="101"/>
    <cellStyle name="Обычный 2 128" xfId="102"/>
    <cellStyle name="Обычный 2 129" xfId="103"/>
    <cellStyle name="Обычный 2 13" xfId="104"/>
    <cellStyle name="Обычный 2 13 2" xfId="105"/>
    <cellStyle name="Обычный 2 13 3" xfId="106"/>
    <cellStyle name="Обычный 2 13 4" xfId="107"/>
    <cellStyle name="Обычный 2 13 5" xfId="108"/>
    <cellStyle name="Обычный 2 13 6" xfId="109"/>
    <cellStyle name="Обычный 2 130" xfId="110"/>
    <cellStyle name="Обычный 2 131" xfId="111"/>
    <cellStyle name="Обычный 2 132" xfId="112"/>
    <cellStyle name="Обычный 2 133" xfId="113"/>
    <cellStyle name="Обычный 2 134" xfId="114"/>
    <cellStyle name="Обычный 2 135" xfId="115"/>
    <cellStyle name="Обычный 2 136" xfId="116"/>
    <cellStyle name="Обычный 2 137" xfId="117"/>
    <cellStyle name="Обычный 2 138" xfId="118"/>
    <cellStyle name="Обычный 2 138 2" xfId="119"/>
    <cellStyle name="Обычный 2 139" xfId="120"/>
    <cellStyle name="Обычный 2 139 2" xfId="121"/>
    <cellStyle name="Обычный 2 14" xfId="122"/>
    <cellStyle name="Обычный 2 140" xfId="123"/>
    <cellStyle name="Обычный 2 141" xfId="124"/>
    <cellStyle name="Обычный 2 141 2" xfId="125"/>
    <cellStyle name="Обычный 2 142" xfId="126"/>
    <cellStyle name="Обычный 2 142 2" xfId="127"/>
    <cellStyle name="Обычный 2 143" xfId="128"/>
    <cellStyle name="Обычный 2 143 2" xfId="129"/>
    <cellStyle name="Обычный 2 144" xfId="130"/>
    <cellStyle name="Обычный 2 144 2" xfId="131"/>
    <cellStyle name="Обычный 2 145" xfId="132"/>
    <cellStyle name="Обычный 2 145 2" xfId="133"/>
    <cellStyle name="Обычный 2 146" xfId="134"/>
    <cellStyle name="Обычный 2 146 2" xfId="135"/>
    <cellStyle name="Обычный 2 147" xfId="136"/>
    <cellStyle name="Обычный 2 147 2" xfId="137"/>
    <cellStyle name="Обычный 2 148" xfId="138"/>
    <cellStyle name="Обычный 2 148 2" xfId="139"/>
    <cellStyle name="Обычный 2 149" xfId="140"/>
    <cellStyle name="Обычный 2 149 2" xfId="141"/>
    <cellStyle name="Обычный 2 15" xfId="142"/>
    <cellStyle name="Обычный 2 15 2" xfId="143"/>
    <cellStyle name="Обычный 2 15 3" xfId="144"/>
    <cellStyle name="Обычный 2 15 4" xfId="145"/>
    <cellStyle name="Обычный 2 150" xfId="146"/>
    <cellStyle name="Обычный 2 150 2" xfId="147"/>
    <cellStyle name="Обычный 2 151" xfId="148"/>
    <cellStyle name="Обычный 2 151 2" xfId="149"/>
    <cellStyle name="Обычный 2 152" xfId="150"/>
    <cellStyle name="Обычный 2 152 2" xfId="151"/>
    <cellStyle name="Обычный 2 153" xfId="152"/>
    <cellStyle name="Обычный 2 153 2" xfId="153"/>
    <cellStyle name="Обычный 2 154" xfId="154"/>
    <cellStyle name="Обычный 2 154 2" xfId="155"/>
    <cellStyle name="Обычный 2 155" xfId="156"/>
    <cellStyle name="Обычный 2 155 2" xfId="157"/>
    <cellStyle name="Обычный 2 156" xfId="158"/>
    <cellStyle name="Обычный 2 156 2" xfId="159"/>
    <cellStyle name="Обычный 2 157" xfId="160"/>
    <cellStyle name="Обычный 2 157 2" xfId="161"/>
    <cellStyle name="Обычный 2 158" xfId="162"/>
    <cellStyle name="Обычный 2 158 2" xfId="163"/>
    <cellStyle name="Обычный 2 159" xfId="164"/>
    <cellStyle name="Обычный 2 159 2" xfId="165"/>
    <cellStyle name="Обычный 2 16" xfId="166"/>
    <cellStyle name="Обычный 2 160" xfId="167"/>
    <cellStyle name="Обычный 2 160 2" xfId="168"/>
    <cellStyle name="Обычный 2 161" xfId="169"/>
    <cellStyle name="Обычный 2 161 2" xfId="170"/>
    <cellStyle name="Обычный 2 162" xfId="171"/>
    <cellStyle name="Обычный 2 162 2" xfId="172"/>
    <cellStyle name="Обычный 2 163" xfId="173"/>
    <cellStyle name="Обычный 2 163 2" xfId="174"/>
    <cellStyle name="Обычный 2 164" xfId="175"/>
    <cellStyle name="Обычный 2 164 2" xfId="176"/>
    <cellStyle name="Обычный 2 165" xfId="177"/>
    <cellStyle name="Обычный 2 165 2" xfId="178"/>
    <cellStyle name="Обычный 2 166" xfId="179"/>
    <cellStyle name="Обычный 2 166 2" xfId="180"/>
    <cellStyle name="Обычный 2 167" xfId="181"/>
    <cellStyle name="Обычный 2 167 2" xfId="182"/>
    <cellStyle name="Обычный 2 168" xfId="183"/>
    <cellStyle name="Обычный 2 168 2" xfId="184"/>
    <cellStyle name="Обычный 2 169" xfId="185"/>
    <cellStyle name="Обычный 2 169 2" xfId="186"/>
    <cellStyle name="Обычный 2 17" xfId="35"/>
    <cellStyle name="Обычный 2 170" xfId="187"/>
    <cellStyle name="Обычный 2 170 2" xfId="188"/>
    <cellStyle name="Обычный 2 171" xfId="189"/>
    <cellStyle name="Обычный 2 172" xfId="190"/>
    <cellStyle name="Обычный 2 173" xfId="191"/>
    <cellStyle name="Обычный 2 174" xfId="192"/>
    <cellStyle name="Обычный 2 174 2" xfId="193"/>
    <cellStyle name="Обычный 2 175" xfId="194"/>
    <cellStyle name="Обычный 2 176" xfId="195"/>
    <cellStyle name="Обычный 2 176 2" xfId="196"/>
    <cellStyle name="Обычный 2 177" xfId="197"/>
    <cellStyle name="Обычный 2 177 2" xfId="198"/>
    <cellStyle name="Обычный 2 178" xfId="199"/>
    <cellStyle name="Обычный 2 179" xfId="200"/>
    <cellStyle name="Обычный 2 179 2" xfId="201"/>
    <cellStyle name="Обычный 2 18" xfId="202"/>
    <cellStyle name="Обычный 2 180" xfId="203"/>
    <cellStyle name="Обычный 2 180 2" xfId="204"/>
    <cellStyle name="Обычный 2 181" xfId="205"/>
    <cellStyle name="Обычный 2 181 2" xfId="206"/>
    <cellStyle name="Обычный 2 182" xfId="207"/>
    <cellStyle name="Обычный 2 182 2" xfId="208"/>
    <cellStyle name="Обычный 2 183" xfId="209"/>
    <cellStyle name="Обычный 2 183 2" xfId="210"/>
    <cellStyle name="Обычный 2 184" xfId="211"/>
    <cellStyle name="Обычный 2 184 2" xfId="212"/>
    <cellStyle name="Обычный 2 185" xfId="213"/>
    <cellStyle name="Обычный 2 185 2" xfId="214"/>
    <cellStyle name="Обычный 2 186" xfId="215"/>
    <cellStyle name="Обычный 2 186 2" xfId="216"/>
    <cellStyle name="Обычный 2 187" xfId="217"/>
    <cellStyle name="Обычный 2 187 2" xfId="218"/>
    <cellStyle name="Обычный 2 188" xfId="219"/>
    <cellStyle name="Обычный 2 189" xfId="220"/>
    <cellStyle name="Обычный 2 19" xfId="221"/>
    <cellStyle name="Обычный 2 19 2" xfId="222"/>
    <cellStyle name="Обычный 2 190" xfId="223"/>
    <cellStyle name="Обычный 2 191" xfId="224"/>
    <cellStyle name="Обычный 2 192" xfId="225"/>
    <cellStyle name="Обычный 2 192 2" xfId="226"/>
    <cellStyle name="Обычный 2 193" xfId="227"/>
    <cellStyle name="Обычный 2 193 2" xfId="228"/>
    <cellStyle name="Обычный 2 194" xfId="229"/>
    <cellStyle name="Обычный 2 194 2" xfId="230"/>
    <cellStyle name="Обычный 2 195" xfId="231"/>
    <cellStyle name="Обычный 2 195 2" xfId="232"/>
    <cellStyle name="Обычный 2 196" xfId="233"/>
    <cellStyle name="Обычный 2 196 2" xfId="234"/>
    <cellStyle name="Обычный 2 197" xfId="235"/>
    <cellStyle name="Обычный 2 197 2" xfId="236"/>
    <cellStyle name="Обычный 2 198" xfId="237"/>
    <cellStyle name="Обычный 2 198 2" xfId="238"/>
    <cellStyle name="Обычный 2 199" xfId="239"/>
    <cellStyle name="Обычный 2 2" xfId="1"/>
    <cellStyle name="Обычный 2 2 10" xfId="240"/>
    <cellStyle name="Обычный 2 2 11" xfId="241"/>
    <cellStyle name="Обычный 2 2 12" xfId="242"/>
    <cellStyle name="Обычный 2 2 13" xfId="243"/>
    <cellStyle name="Обычный 2 2 14" xfId="244"/>
    <cellStyle name="Обычный 2 2 15" xfId="245"/>
    <cellStyle name="Обычный 2 2 16" xfId="604"/>
    <cellStyle name="Обычный 2 2 2" xfId="36"/>
    <cellStyle name="Обычный 2 2 2 2" xfId="37"/>
    <cellStyle name="Обычный 2 2 3" xfId="246"/>
    <cellStyle name="Обычный 2 2 4" xfId="247"/>
    <cellStyle name="Обычный 2 2 5" xfId="248"/>
    <cellStyle name="Обычный 2 2 6" xfId="249"/>
    <cellStyle name="Обычный 2 2 7" xfId="250"/>
    <cellStyle name="Обычный 2 2 8" xfId="251"/>
    <cellStyle name="Обычный 2 2 9" xfId="252"/>
    <cellStyle name="Обычный 2 20" xfId="38"/>
    <cellStyle name="Обычный 2 200" xfId="253"/>
    <cellStyle name="Обычный 2 201" xfId="254"/>
    <cellStyle name="Обычный 2 202" xfId="255"/>
    <cellStyle name="Обычный 2 203" xfId="256"/>
    <cellStyle name="Обычный 2 204" xfId="257"/>
    <cellStyle name="Обычный 2 205" xfId="258"/>
    <cellStyle name="Обычный 2 206" xfId="259"/>
    <cellStyle name="Обычный 2 207" xfId="260"/>
    <cellStyle name="Обычный 2 207 2" xfId="261"/>
    <cellStyle name="Обычный 2 208" xfId="262"/>
    <cellStyle name="Обычный 2 208 2" xfId="263"/>
    <cellStyle name="Обычный 2 209" xfId="264"/>
    <cellStyle name="Обычный 2 21" xfId="265"/>
    <cellStyle name="Обычный 2 210" xfId="266"/>
    <cellStyle name="Обычный 2 211" xfId="267"/>
    <cellStyle name="Обычный 2 212" xfId="268"/>
    <cellStyle name="Обычный 2 212 2" xfId="269"/>
    <cellStyle name="Обычный 2 213" xfId="270"/>
    <cellStyle name="Обычный 2 213 2" xfId="271"/>
    <cellStyle name="Обычный 2 214" xfId="272"/>
    <cellStyle name="Обычный 2 214 2" xfId="273"/>
    <cellStyle name="Обычный 2 214 2 2" xfId="274"/>
    <cellStyle name="Обычный 2 214 3" xfId="275"/>
    <cellStyle name="Обычный 2 215" xfId="276"/>
    <cellStyle name="Обычный 2 216" xfId="277"/>
    <cellStyle name="Обычный 2 217" xfId="278"/>
    <cellStyle name="Обычный 2 218" xfId="279"/>
    <cellStyle name="Обычный 2 219" xfId="280"/>
    <cellStyle name="Обычный 2 22" xfId="39"/>
    <cellStyle name="Обычный 2 22 2" xfId="281"/>
    <cellStyle name="Обычный 2 220" xfId="282"/>
    <cellStyle name="Обычный 2 221" xfId="283"/>
    <cellStyle name="Обычный 2 222" xfId="284"/>
    <cellStyle name="Обычный 2 222 2" xfId="285"/>
    <cellStyle name="Обычный 2 223" xfId="286"/>
    <cellStyle name="Обычный 2 223 2" xfId="287"/>
    <cellStyle name="Обычный 2 224" xfId="288"/>
    <cellStyle name="Обычный 2 225" xfId="289"/>
    <cellStyle name="Обычный 2 226" xfId="290"/>
    <cellStyle name="Обычный 2 227" xfId="291"/>
    <cellStyle name="Обычный 2 227 2" xfId="292"/>
    <cellStyle name="Обычный 2 228" xfId="293"/>
    <cellStyle name="Обычный 2 229" xfId="294"/>
    <cellStyle name="Обычный 2 229 2" xfId="295"/>
    <cellStyle name="Обычный 2 23" xfId="296"/>
    <cellStyle name="Обычный 2 230" xfId="508"/>
    <cellStyle name="Обычный 2 231" xfId="509"/>
    <cellStyle name="Обычный 2 232" xfId="510"/>
    <cellStyle name="Обычный 2 233" xfId="511"/>
    <cellStyle name="Обычный 2 234" xfId="603"/>
    <cellStyle name="Обычный 2 235" xfId="297"/>
    <cellStyle name="Обычный 2 24" xfId="40"/>
    <cellStyle name="Обычный 2 243" xfId="298"/>
    <cellStyle name="Обычный 2 25" xfId="41"/>
    <cellStyle name="Обычный 2 255" xfId="299"/>
    <cellStyle name="Обычный 2 26" xfId="300"/>
    <cellStyle name="Обычный 2 27" xfId="301"/>
    <cellStyle name="Обычный 2 28" xfId="302"/>
    <cellStyle name="Обычный 2 29" xfId="303"/>
    <cellStyle name="Обычный 2 3" xfId="2"/>
    <cellStyle name="Обычный 2 3 10" xfId="304"/>
    <cellStyle name="Обычный 2 3 11" xfId="305"/>
    <cellStyle name="Обычный 2 3 12" xfId="306"/>
    <cellStyle name="Обычный 2 3 13" xfId="307"/>
    <cellStyle name="Обычный 2 3 2" xfId="42"/>
    <cellStyle name="Обычный 2 3 3" xfId="308"/>
    <cellStyle name="Обычный 2 3 4" xfId="309"/>
    <cellStyle name="Обычный 2 3 5" xfId="310"/>
    <cellStyle name="Обычный 2 3 6" xfId="311"/>
    <cellStyle name="Обычный 2 3 7" xfId="312"/>
    <cellStyle name="Обычный 2 3 8" xfId="313"/>
    <cellStyle name="Обычный 2 3 9" xfId="314"/>
    <cellStyle name="Обычный 2 30" xfId="315"/>
    <cellStyle name="Обычный 2 31" xfId="316"/>
    <cellStyle name="Обычный 2 32" xfId="317"/>
    <cellStyle name="Обычный 2 33" xfId="318"/>
    <cellStyle name="Обычный 2 33 2" xfId="319"/>
    <cellStyle name="Обычный 2 34" xfId="320"/>
    <cellStyle name="Обычный 2 35" xfId="321"/>
    <cellStyle name="Обычный 2 36" xfId="322"/>
    <cellStyle name="Обычный 2 37" xfId="323"/>
    <cellStyle name="Обычный 2 38" xfId="324"/>
    <cellStyle name="Обычный 2 39" xfId="325"/>
    <cellStyle name="Обычный 2 4" xfId="7"/>
    <cellStyle name="Обычный 2 4 10" xfId="327"/>
    <cellStyle name="Обычный 2 4 11" xfId="328"/>
    <cellStyle name="Обычный 2 4 12" xfId="329"/>
    <cellStyle name="Обычный 2 4 13" xfId="326"/>
    <cellStyle name="Обычный 2 4 13 2" xfId="540"/>
    <cellStyle name="Обычный 2 4 14" xfId="478"/>
    <cellStyle name="Обычный 2 4 14 2" xfId="572"/>
    <cellStyle name="Обычный 2 4 15" xfId="512"/>
    <cellStyle name="Обычный 2 4 16" xfId="605"/>
    <cellStyle name="Обычный 2 4 2" xfId="16"/>
    <cellStyle name="Обычный 2 4 2 2" xfId="331"/>
    <cellStyle name="Обычный 2 4 2 2 2" xfId="479"/>
    <cellStyle name="Обычный 2 4 2 2 2 2" xfId="573"/>
    <cellStyle name="Обычный 2 4 2 2 3" xfId="541"/>
    <cellStyle name="Обычный 2 4 2 2 4" xfId="607"/>
    <cellStyle name="Обычный 2 4 2 3" xfId="330"/>
    <cellStyle name="Обычный 2 4 2 4" xfId="520"/>
    <cellStyle name="Обычный 2 4 2 5" xfId="606"/>
    <cellStyle name="Обычный 2 4 3" xfId="24"/>
    <cellStyle name="Обычный 2 4 3 2" xfId="333"/>
    <cellStyle name="Обычный 2 4 3 2 2" xfId="480"/>
    <cellStyle name="Обычный 2 4 3 2 2 2" xfId="574"/>
    <cellStyle name="Обычный 2 4 3 2 3" xfId="542"/>
    <cellStyle name="Обычный 2 4 3 2 4" xfId="609"/>
    <cellStyle name="Обычный 2 4 3 3" xfId="332"/>
    <cellStyle name="Обычный 2 4 3 4" xfId="528"/>
    <cellStyle name="Обычный 2 4 3 5" xfId="608"/>
    <cellStyle name="Обычный 2 4 4" xfId="32"/>
    <cellStyle name="Обычный 2 4 4 2" xfId="335"/>
    <cellStyle name="Обычный 2 4 4 3" xfId="334"/>
    <cellStyle name="Обычный 2 4 4 4" xfId="610"/>
    <cellStyle name="Обычный 2 4 5" xfId="336"/>
    <cellStyle name="Обычный 2 4 5 2" xfId="47"/>
    <cellStyle name="Обычный 2 4 5 2 2" xfId="337"/>
    <cellStyle name="Обычный 2 4 5 2 2 2" xfId="543"/>
    <cellStyle name="Обычный 2 4 5 2 3" xfId="481"/>
    <cellStyle name="Обычный 2 4 5 2 3 2" xfId="575"/>
    <cellStyle name="Обычный 2 4 5 2 4" xfId="537"/>
    <cellStyle name="Обычный 2 4 5 2 5" xfId="611"/>
    <cellStyle name="Обычный 2 4 6" xfId="338"/>
    <cellStyle name="Обычный 2 4 7" xfId="339"/>
    <cellStyle name="Обычный 2 4 8" xfId="340"/>
    <cellStyle name="Обычный 2 4 9" xfId="341"/>
    <cellStyle name="Обычный 2 40" xfId="342"/>
    <cellStyle name="Обычный 2 41" xfId="343"/>
    <cellStyle name="Обычный 2 42" xfId="344"/>
    <cellStyle name="Обычный 2 43" xfId="345"/>
    <cellStyle name="Обычный 2 43 2" xfId="346"/>
    <cellStyle name="Обычный 2 44" xfId="347"/>
    <cellStyle name="Обычный 2 45" xfId="348"/>
    <cellStyle name="Обычный 2 46" xfId="349"/>
    <cellStyle name="Обычный 2 47" xfId="350"/>
    <cellStyle name="Обычный 2 48" xfId="351"/>
    <cellStyle name="Обычный 2 49" xfId="352"/>
    <cellStyle name="Обычный 2 5" xfId="12"/>
    <cellStyle name="Обычный 2 5 10" xfId="354"/>
    <cellStyle name="Обычный 2 5 11" xfId="355"/>
    <cellStyle name="Обычный 2 5 12" xfId="356"/>
    <cellStyle name="Обычный 2 5 12 2" xfId="482"/>
    <cellStyle name="Обычный 2 5 12 2 2" xfId="576"/>
    <cellStyle name="Обычный 2 5 12 3" xfId="544"/>
    <cellStyle name="Обычный 2 5 12 4" xfId="613"/>
    <cellStyle name="Обычный 2 5 13" xfId="353"/>
    <cellStyle name="Обычный 2 5 14" xfId="516"/>
    <cellStyle name="Обычный 2 5 15" xfId="612"/>
    <cellStyle name="Обычный 2 5 2" xfId="20"/>
    <cellStyle name="Обычный 2 5 2 2" xfId="358"/>
    <cellStyle name="Обычный 2 5 2 2 2" xfId="483"/>
    <cellStyle name="Обычный 2 5 2 2 2 2" xfId="577"/>
    <cellStyle name="Обычный 2 5 2 2 3" xfId="545"/>
    <cellStyle name="Обычный 2 5 2 2 4" xfId="615"/>
    <cellStyle name="Обычный 2 5 2 3" xfId="357"/>
    <cellStyle name="Обычный 2 5 2 4" xfId="524"/>
    <cellStyle name="Обычный 2 5 2 5" xfId="614"/>
    <cellStyle name="Обычный 2 5 3" xfId="28"/>
    <cellStyle name="Обычный 2 5 3 2" xfId="360"/>
    <cellStyle name="Обычный 2 5 3 2 2" xfId="484"/>
    <cellStyle name="Обычный 2 5 3 2 2 2" xfId="578"/>
    <cellStyle name="Обычный 2 5 3 2 3" xfId="546"/>
    <cellStyle name="Обычный 2 5 3 2 4" xfId="617"/>
    <cellStyle name="Обычный 2 5 3 3" xfId="359"/>
    <cellStyle name="Обычный 2 5 3 4" xfId="532"/>
    <cellStyle name="Обычный 2 5 3 5" xfId="616"/>
    <cellStyle name="Обычный 2 5 4" xfId="361"/>
    <cellStyle name="Обычный 2 5 5" xfId="362"/>
    <cellStyle name="Обычный 2 5 6" xfId="363"/>
    <cellStyle name="Обычный 2 5 7" xfId="364"/>
    <cellStyle name="Обычный 2 5 8" xfId="365"/>
    <cellStyle name="Обычный 2 5 9" xfId="366"/>
    <cellStyle name="Обычный 2 50" xfId="367"/>
    <cellStyle name="Обычный 2 51" xfId="368"/>
    <cellStyle name="Обычный 2 52" xfId="369"/>
    <cellStyle name="Обычный 2 53" xfId="370"/>
    <cellStyle name="Обычный 2 54" xfId="371"/>
    <cellStyle name="Обычный 2 54 2" xfId="372"/>
    <cellStyle name="Обычный 2 55" xfId="373"/>
    <cellStyle name="Обычный 2 56" xfId="374"/>
    <cellStyle name="Обычный 2 57" xfId="375"/>
    <cellStyle name="Обычный 2 57 2" xfId="376"/>
    <cellStyle name="Обычный 2 58" xfId="377"/>
    <cellStyle name="Обычный 2 59" xfId="378"/>
    <cellStyle name="Обычный 2 6" xfId="15"/>
    <cellStyle name="Обычный 2 6 10" xfId="380"/>
    <cellStyle name="Обычный 2 6 11" xfId="381"/>
    <cellStyle name="Обычный 2 6 11 2" xfId="485"/>
    <cellStyle name="Обычный 2 6 11 2 2" xfId="579"/>
    <cellStyle name="Обычный 2 6 11 3" xfId="547"/>
    <cellStyle name="Обычный 2 6 11 4" xfId="619"/>
    <cellStyle name="Обычный 2 6 12" xfId="379"/>
    <cellStyle name="Обычный 2 6 13" xfId="519"/>
    <cellStyle name="Обычный 2 6 14" xfId="618"/>
    <cellStyle name="Обычный 2 6 2" xfId="382"/>
    <cellStyle name="Обычный 2 6 3" xfId="383"/>
    <cellStyle name="Обычный 2 6 4" xfId="384"/>
    <cellStyle name="Обычный 2 6 5" xfId="385"/>
    <cellStyle name="Обычный 2 6 6" xfId="386"/>
    <cellStyle name="Обычный 2 6 7" xfId="387"/>
    <cellStyle name="Обычный 2 6 8" xfId="388"/>
    <cellStyle name="Обычный 2 6 9" xfId="389"/>
    <cellStyle name="Обычный 2 60" xfId="390"/>
    <cellStyle name="Обычный 2 61" xfId="391"/>
    <cellStyle name="Обычный 2 62" xfId="392"/>
    <cellStyle name="Обычный 2 63" xfId="393"/>
    <cellStyle name="Обычный 2 64" xfId="394"/>
    <cellStyle name="Обычный 2 65" xfId="395"/>
    <cellStyle name="Обычный 2 65 2" xfId="396"/>
    <cellStyle name="Обычный 2 66" xfId="397"/>
    <cellStyle name="Обычный 2 67" xfId="398"/>
    <cellStyle name="Обычный 2 68" xfId="399"/>
    <cellStyle name="Обычный 2 69" xfId="400"/>
    <cellStyle name="Обычный 2 7" xfId="23"/>
    <cellStyle name="Обычный 2 7 10" xfId="620"/>
    <cellStyle name="Обычный 2 7 2" xfId="402"/>
    <cellStyle name="Обычный 2 7 3" xfId="403"/>
    <cellStyle name="Обычный 2 7 4" xfId="404"/>
    <cellStyle name="Обычный 2 7 5" xfId="405"/>
    <cellStyle name="Обычный 2 7 6" xfId="406"/>
    <cellStyle name="Обычный 2 7 7" xfId="407"/>
    <cellStyle name="Обычный 2 7 7 2" xfId="486"/>
    <cellStyle name="Обычный 2 7 7 2 2" xfId="580"/>
    <cellStyle name="Обычный 2 7 7 3" xfId="548"/>
    <cellStyle name="Обычный 2 7 7 4" xfId="621"/>
    <cellStyle name="Обычный 2 7 8" xfId="401"/>
    <cellStyle name="Обычный 2 7 9" xfId="527"/>
    <cellStyle name="Обычный 2 70" xfId="408"/>
    <cellStyle name="Обычный 2 71" xfId="409"/>
    <cellStyle name="Обычный 2 72" xfId="410"/>
    <cellStyle name="Обычный 2 73" xfId="411"/>
    <cellStyle name="Обычный 2 74" xfId="412"/>
    <cellStyle name="Обычный 2 75" xfId="413"/>
    <cellStyle name="Обычный 2 75 2" xfId="414"/>
    <cellStyle name="Обычный 2 76" xfId="415"/>
    <cellStyle name="Обычный 2 77" xfId="416"/>
    <cellStyle name="Обычный 2 78" xfId="417"/>
    <cellStyle name="Обычный 2 79" xfId="418"/>
    <cellStyle name="Обычный 2 8" xfId="419"/>
    <cellStyle name="Обычный 2 8 2" xfId="420"/>
    <cellStyle name="Обычный 2 8 3" xfId="421"/>
    <cellStyle name="Обычный 2 8 4" xfId="422"/>
    <cellStyle name="Обычный 2 8 5" xfId="423"/>
    <cellStyle name="Обычный 2 8 6" xfId="424"/>
    <cellStyle name="Обычный 2 80" xfId="425"/>
    <cellStyle name="Обычный 2 81" xfId="426"/>
    <cellStyle name="Обычный 2 82" xfId="427"/>
    <cellStyle name="Обычный 2 83" xfId="428"/>
    <cellStyle name="Обычный 2 84" xfId="43"/>
    <cellStyle name="Обычный 2 85" xfId="429"/>
    <cellStyle name="Обычный 2 86" xfId="44"/>
    <cellStyle name="Обычный 2 87" xfId="430"/>
    <cellStyle name="Обычный 2 87 2" xfId="431"/>
    <cellStyle name="Обычный 2 88" xfId="432"/>
    <cellStyle name="Обычный 2 89" xfId="433"/>
    <cellStyle name="Обычный 2 9" xfId="434"/>
    <cellStyle name="Обычный 2 9 2" xfId="435"/>
    <cellStyle name="Обычный 2 9 3" xfId="436"/>
    <cellStyle name="Обычный 2 9 4" xfId="437"/>
    <cellStyle name="Обычный 2 9 5" xfId="438"/>
    <cellStyle name="Обычный 2 9 6" xfId="439"/>
    <cellStyle name="Обычный 2 90" xfId="440"/>
    <cellStyle name="Обычный 2 91" xfId="441"/>
    <cellStyle name="Обычный 2 92" xfId="442"/>
    <cellStyle name="Обычный 2 93" xfId="443"/>
    <cellStyle name="Обычный 2 94" xfId="444"/>
    <cellStyle name="Обычный 2 95" xfId="445"/>
    <cellStyle name="Обычный 2 96" xfId="446"/>
    <cellStyle name="Обычный 2 97" xfId="447"/>
    <cellStyle name="Обычный 2 98" xfId="45"/>
    <cellStyle name="Обычный 2 99" xfId="448"/>
    <cellStyle name="Обычный 2_ИСТОЧНИКИ (17.12)" xfId="449"/>
    <cellStyle name="Обычный 3" xfId="8"/>
    <cellStyle name="Обычный 3 2" xfId="451"/>
    <cellStyle name="Обычный 3 3" xfId="450"/>
    <cellStyle name="Обычный 3 4" xfId="622"/>
    <cellStyle name="Обычный 4" xfId="10"/>
    <cellStyle name="Обычный 4 2" xfId="18"/>
    <cellStyle name="Обычный 4 2 2" xfId="453"/>
    <cellStyle name="Обычный 4 2 2 2" xfId="549"/>
    <cellStyle name="Обычный 4 2 3" xfId="487"/>
    <cellStyle name="Обычный 4 2 3 2" xfId="581"/>
    <cellStyle name="Обычный 4 2 4" xfId="522"/>
    <cellStyle name="Обычный 4 2 5" xfId="624"/>
    <cellStyle name="Обычный 4 3" xfId="26"/>
    <cellStyle name="Обычный 4 3 2" xfId="454"/>
    <cellStyle name="Обычный 4 3 2 2" xfId="550"/>
    <cellStyle name="Обычный 4 3 3" xfId="488"/>
    <cellStyle name="Обычный 4 3 3 2" xfId="582"/>
    <cellStyle name="Обычный 4 3 4" xfId="530"/>
    <cellStyle name="Обычный 4 3 5" xfId="625"/>
    <cellStyle name="Обычный 4 4" xfId="455"/>
    <cellStyle name="Обычный 4 4 2" xfId="489"/>
    <cellStyle name="Обычный 4 4 2 2" xfId="583"/>
    <cellStyle name="Обычный 4 4 3" xfId="551"/>
    <cellStyle name="Обычный 4 4 4" xfId="626"/>
    <cellStyle name="Обычный 4 5" xfId="452"/>
    <cellStyle name="Обычный 4 6" xfId="514"/>
    <cellStyle name="Обычный 4 7" xfId="623"/>
    <cellStyle name="Обычный 5" xfId="11"/>
    <cellStyle name="Обычный 5 2" xfId="19"/>
    <cellStyle name="Обычный 5 2 2" xfId="457"/>
    <cellStyle name="Обычный 5 2 2 2" xfId="553"/>
    <cellStyle name="Обычный 5 2 3" xfId="491"/>
    <cellStyle name="Обычный 5 2 3 2" xfId="585"/>
    <cellStyle name="Обычный 5 2 4" xfId="523"/>
    <cellStyle name="Обычный 5 2 5" xfId="628"/>
    <cellStyle name="Обычный 5 3" xfId="27"/>
    <cellStyle name="Обычный 5 3 2" xfId="458"/>
    <cellStyle name="Обычный 5 3 2 2" xfId="554"/>
    <cellStyle name="Обычный 5 3 3" xfId="492"/>
    <cellStyle name="Обычный 5 3 3 2" xfId="586"/>
    <cellStyle name="Обычный 5 3 4" xfId="531"/>
    <cellStyle name="Обычный 5 3 5" xfId="629"/>
    <cellStyle name="Обычный 5 4" xfId="456"/>
    <cellStyle name="Обычный 5 4 2" xfId="552"/>
    <cellStyle name="Обычный 5 5" xfId="490"/>
    <cellStyle name="Обычный 5 5 2" xfId="584"/>
    <cellStyle name="Обычный 5 6" xfId="515"/>
    <cellStyle name="Обычный 5 7" xfId="627"/>
    <cellStyle name="Обычный 6" xfId="13"/>
    <cellStyle name="Обычный 6 2" xfId="21"/>
    <cellStyle name="Обычный 6 2 2" xfId="460"/>
    <cellStyle name="Обычный 6 2 2 2" xfId="556"/>
    <cellStyle name="Обычный 6 2 3" xfId="494"/>
    <cellStyle name="Обычный 6 2 3 2" xfId="588"/>
    <cellStyle name="Обычный 6 2 4" xfId="525"/>
    <cellStyle name="Обычный 6 2 5" xfId="631"/>
    <cellStyle name="Обычный 6 3" xfId="29"/>
    <cellStyle name="Обычный 6 3 2" xfId="461"/>
    <cellStyle name="Обычный 6 3 2 2" xfId="557"/>
    <cellStyle name="Обычный 6 3 3" xfId="495"/>
    <cellStyle name="Обычный 6 3 3 2" xfId="589"/>
    <cellStyle name="Обычный 6 3 4" xfId="533"/>
    <cellStyle name="Обычный 6 3 5" xfId="632"/>
    <cellStyle name="Обычный 6 4" xfId="459"/>
    <cellStyle name="Обычный 6 4 2" xfId="555"/>
    <cellStyle name="Обычный 6 5" xfId="493"/>
    <cellStyle name="Обычный 6 5 2" xfId="587"/>
    <cellStyle name="Обычный 6 6" xfId="517"/>
    <cellStyle name="Обычный 6 7" xfId="630"/>
    <cellStyle name="Обычный 7" xfId="14"/>
    <cellStyle name="Обычный 7 2" xfId="22"/>
    <cellStyle name="Обычный 7 2 2" xfId="463"/>
    <cellStyle name="Обычный 7 2 2 2" xfId="559"/>
    <cellStyle name="Обычный 7 2 3" xfId="497"/>
    <cellStyle name="Обычный 7 2 3 2" xfId="591"/>
    <cellStyle name="Обычный 7 2 4" xfId="526"/>
    <cellStyle name="Обычный 7 2 5" xfId="634"/>
    <cellStyle name="Обычный 7 3" xfId="30"/>
    <cellStyle name="Обычный 7 3 2" xfId="464"/>
    <cellStyle name="Обычный 7 3 2 2" xfId="560"/>
    <cellStyle name="Обычный 7 3 3" xfId="498"/>
    <cellStyle name="Обычный 7 3 3 2" xfId="592"/>
    <cellStyle name="Обычный 7 3 4" xfId="534"/>
    <cellStyle name="Обычный 7 3 5" xfId="635"/>
    <cellStyle name="Обычный 7 4" xfId="462"/>
    <cellStyle name="Обычный 7 4 2" xfId="558"/>
    <cellStyle name="Обычный 7 5" xfId="496"/>
    <cellStyle name="Обычный 7 5 2" xfId="590"/>
    <cellStyle name="Обычный 7 6" xfId="518"/>
    <cellStyle name="Обычный 7 7" xfId="633"/>
    <cellStyle name="Обычный 8" xfId="31"/>
    <cellStyle name="Обычный 8 2" xfId="465"/>
    <cellStyle name="Обычный 8 2 2" xfId="561"/>
    <cellStyle name="Обычный 8 3" xfId="499"/>
    <cellStyle name="Обычный 8 3 2" xfId="593"/>
    <cellStyle name="Обычный 8 4" xfId="535"/>
    <cellStyle name="Обычный 8 5" xfId="636"/>
    <cellStyle name="Обычный 9" xfId="466"/>
    <cellStyle name="Обычный 9 2" xfId="500"/>
    <cellStyle name="Обычный 9 2 2" xfId="594"/>
    <cellStyle name="Обычный 9 3" xfId="562"/>
    <cellStyle name="Обычный 9 4" xfId="637"/>
    <cellStyle name="Обычный_tmp" xfId="3"/>
    <cellStyle name="Финансовый" xfId="4" builtinId="3"/>
    <cellStyle name="Финансовый 2" xfId="6"/>
    <cellStyle name="Финансовый 2 2" xfId="46"/>
    <cellStyle name="Финансовый 2 2 2" xfId="469"/>
    <cellStyle name="Финансовый 2 2 2 2" xfId="503"/>
    <cellStyle name="Финансовый 2 2 2 2 2" xfId="597"/>
    <cellStyle name="Финансовый 2 2 2 3" xfId="565"/>
    <cellStyle name="Финансовый 2 2 2 4" xfId="640"/>
    <cellStyle name="Финансовый 2 2 3" xfId="468"/>
    <cellStyle name="Финансовый 2 2 3 2" xfId="564"/>
    <cellStyle name="Финансовый 2 2 4" xfId="502"/>
    <cellStyle name="Финансовый 2 2 4 2" xfId="596"/>
    <cellStyle name="Финансовый 2 2 5" xfId="536"/>
    <cellStyle name="Финансовый 2 2 6" xfId="639"/>
    <cellStyle name="Финансовый 2 3" xfId="470"/>
    <cellStyle name="Финансовый 2 4" xfId="467"/>
    <cellStyle name="Финансовый 2 4 2" xfId="563"/>
    <cellStyle name="Финансовый 2 5" xfId="501"/>
    <cellStyle name="Финансовый 2 5 2" xfId="595"/>
    <cellStyle name="Финансовый 2 6" xfId="638"/>
    <cellStyle name="Финансовый 3" xfId="9"/>
    <cellStyle name="Финансовый 3 2" xfId="17"/>
    <cellStyle name="Финансовый 3 2 2" xfId="472"/>
    <cellStyle name="Финансовый 3 2 2 2" xfId="567"/>
    <cellStyle name="Финансовый 3 2 3" xfId="505"/>
    <cellStyle name="Финансовый 3 2 3 2" xfId="599"/>
    <cellStyle name="Финансовый 3 2 4" xfId="521"/>
    <cellStyle name="Финансовый 3 2 5" xfId="642"/>
    <cellStyle name="Финансовый 3 3" xfId="25"/>
    <cellStyle name="Финансовый 3 3 2" xfId="473"/>
    <cellStyle name="Финансовый 3 3 2 2" xfId="568"/>
    <cellStyle name="Финансовый 3 3 3" xfId="506"/>
    <cellStyle name="Финансовый 3 3 3 2" xfId="600"/>
    <cellStyle name="Финансовый 3 3 4" xfId="529"/>
    <cellStyle name="Финансовый 3 3 5" xfId="643"/>
    <cellStyle name="Финансовый 3 4" xfId="474"/>
    <cellStyle name="Финансовый 3 4 2" xfId="507"/>
    <cellStyle name="Финансовый 3 4 2 2" xfId="601"/>
    <cellStyle name="Финансовый 3 4 3" xfId="569"/>
    <cellStyle name="Финансовый 3 4 4" xfId="644"/>
    <cellStyle name="Финансовый 3 5" xfId="471"/>
    <cellStyle name="Финансовый 3 5 2" xfId="566"/>
    <cellStyle name="Финансовый 3 6" xfId="504"/>
    <cellStyle name="Финансовый 3 6 2" xfId="598"/>
    <cellStyle name="Финансовый 3 7" xfId="513"/>
    <cellStyle name="Финансовый 3 8" xfId="641"/>
    <cellStyle name="Финансовый 4" xfId="475"/>
  </cellStyles>
  <dxfs count="0"/>
  <tableStyles count="0" defaultTableStyle="TableStyleMedium9" defaultPivotStyle="PivotStyleLight16"/>
  <colors>
    <mruColors>
      <color rgb="FFFF7C80"/>
      <color rgb="FF0066FF"/>
      <color rgb="FFCCFFCC"/>
      <color rgb="FFAC0046"/>
      <color rgb="FF009900"/>
      <color rgb="FFFF99CC"/>
      <color rgb="FFAFEFEA"/>
      <color rgb="FFFF00FF"/>
      <color rgb="FF66FF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AH1385"/>
  <sheetViews>
    <sheetView view="pageBreakPreview" zoomScale="110" zoomScaleSheetLayoutView="110" workbookViewId="0">
      <pane xSplit="1" ySplit="3" topLeftCell="B364" activePane="bottomRight" state="frozen"/>
      <selection activeCell="E63" sqref="E63"/>
      <selection pane="topRight" activeCell="E63" sqref="E63"/>
      <selection pane="bottomLeft" activeCell="E63" sqref="E63"/>
      <selection pane="bottomRight" activeCell="B384" sqref="B384"/>
    </sheetView>
  </sheetViews>
  <sheetFormatPr defaultColWidth="8.7265625" defaultRowHeight="15.75" customHeight="1"/>
  <cols>
    <col min="1" max="1" width="3.453125" style="293" customWidth="1"/>
    <col min="2" max="2" width="26.90625" style="16" customWidth="1"/>
    <col min="3" max="3" width="5.1796875" style="143" customWidth="1"/>
    <col min="4" max="4" width="2" style="144" bestFit="1" customWidth="1"/>
    <col min="5" max="5" width="3.453125" style="144" bestFit="1" customWidth="1"/>
    <col min="6" max="6" width="9.36328125" style="144" customWidth="1"/>
    <col min="7" max="7" width="4" style="144" customWidth="1"/>
    <col min="8" max="8" width="9.7265625" style="146" customWidth="1"/>
    <col min="9" max="20" width="10.1796875" style="146" customWidth="1"/>
    <col min="21" max="21" width="26.90625" style="16" customWidth="1"/>
    <col min="22" max="22" width="5.1796875" style="143" customWidth="1"/>
    <col min="23" max="23" width="2" style="144" bestFit="1" customWidth="1"/>
    <col min="24" max="24" width="3.453125" style="144" bestFit="1" customWidth="1"/>
    <col min="25" max="25" width="9.36328125" style="144" customWidth="1"/>
    <col min="26" max="26" width="4" style="144" customWidth="1"/>
    <col min="27" max="27" width="8.7265625" style="501"/>
    <col min="28" max="28" width="8.7265625" style="504"/>
    <col min="29" max="30" width="8.7265625" style="14"/>
    <col min="31" max="31" width="8.7265625" style="506"/>
    <col min="32" max="32" width="8.7265625" style="509"/>
    <col min="33" max="16384" width="8.7265625" style="14"/>
  </cols>
  <sheetData>
    <row r="1" spans="1:32" s="11" customFormat="1" ht="15.75" customHeight="1">
      <c r="A1" s="282"/>
      <c r="B1" s="10"/>
      <c r="C1" s="95"/>
      <c r="D1" s="49"/>
      <c r="E1" s="134"/>
      <c r="F1" s="134"/>
      <c r="G1" s="134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0"/>
      <c r="V1" s="95"/>
      <c r="W1" s="49"/>
      <c r="X1" s="134"/>
      <c r="Y1" s="134"/>
      <c r="Z1" s="134"/>
      <c r="AA1" s="499" t="s">
        <v>1222</v>
      </c>
      <c r="AB1" s="502" t="s">
        <v>1224</v>
      </c>
      <c r="AC1" s="11" t="s">
        <v>1223</v>
      </c>
      <c r="AD1" s="11" t="s">
        <v>76</v>
      </c>
      <c r="AE1" s="505" t="s">
        <v>77</v>
      </c>
      <c r="AF1" s="507" t="s">
        <v>78</v>
      </c>
    </row>
    <row r="2" spans="1:32" s="11" customFormat="1" ht="15.75" customHeight="1" thickBot="1">
      <c r="A2" s="282"/>
      <c r="B2" s="17"/>
      <c r="C2" s="135"/>
      <c r="D2" s="136"/>
      <c r="E2" s="136"/>
      <c r="G2" s="174"/>
      <c r="H2" s="269" t="s">
        <v>218</v>
      </c>
      <c r="I2" s="269" t="s">
        <v>218</v>
      </c>
      <c r="J2" s="269" t="s">
        <v>218</v>
      </c>
      <c r="K2" s="470" t="s">
        <v>1262</v>
      </c>
      <c r="L2" s="470"/>
      <c r="M2" s="470"/>
      <c r="N2" s="470"/>
      <c r="O2" s="470" t="s">
        <v>1133</v>
      </c>
      <c r="P2" s="470" t="s">
        <v>218</v>
      </c>
      <c r="Q2" s="470" t="s">
        <v>218</v>
      </c>
      <c r="R2" s="470"/>
      <c r="S2" s="470"/>
      <c r="T2" s="470"/>
      <c r="U2" s="17"/>
      <c r="V2" s="135"/>
      <c r="W2" s="136"/>
      <c r="X2" s="136"/>
      <c r="Z2" s="174"/>
    </row>
    <row r="3" spans="1:32" s="11" customFormat="1" ht="31.5" customHeight="1" thickBot="1">
      <c r="A3" s="282"/>
      <c r="B3" s="176" t="s">
        <v>74</v>
      </c>
      <c r="C3" s="137" t="s">
        <v>75</v>
      </c>
      <c r="D3" s="137" t="s">
        <v>31</v>
      </c>
      <c r="E3" s="137" t="s">
        <v>76</v>
      </c>
      <c r="F3" s="137" t="s">
        <v>77</v>
      </c>
      <c r="G3" s="138" t="s">
        <v>78</v>
      </c>
      <c r="H3" s="139" t="s">
        <v>977</v>
      </c>
      <c r="I3" s="139" t="s">
        <v>1032</v>
      </c>
      <c r="J3" s="139" t="s">
        <v>1135</v>
      </c>
      <c r="K3" s="139" t="s">
        <v>977</v>
      </c>
      <c r="L3" s="139" t="s">
        <v>1032</v>
      </c>
      <c r="M3" s="139" t="s">
        <v>1135</v>
      </c>
      <c r="N3" s="139"/>
      <c r="O3" s="139" t="s">
        <v>977</v>
      </c>
      <c r="P3" s="139" t="s">
        <v>1032</v>
      </c>
      <c r="Q3" s="139" t="s">
        <v>1135</v>
      </c>
      <c r="R3" s="139" t="s">
        <v>891</v>
      </c>
      <c r="S3" s="139" t="s">
        <v>977</v>
      </c>
      <c r="T3" s="139" t="s">
        <v>1032</v>
      </c>
      <c r="U3" s="176" t="s">
        <v>74</v>
      </c>
      <c r="V3" s="137" t="s">
        <v>75</v>
      </c>
      <c r="W3" s="137" t="s">
        <v>31</v>
      </c>
      <c r="X3" s="137" t="s">
        <v>76</v>
      </c>
      <c r="Y3" s="137" t="s">
        <v>77</v>
      </c>
      <c r="Z3" s="138" t="s">
        <v>78</v>
      </c>
    </row>
    <row r="4" spans="1:32" s="172" customFormat="1" ht="15.75" customHeight="1" thickBot="1">
      <c r="A4" s="282"/>
      <c r="B4" s="422">
        <v>1</v>
      </c>
      <c r="C4" s="423">
        <v>2</v>
      </c>
      <c r="D4" s="423">
        <v>3</v>
      </c>
      <c r="E4" s="423" t="s">
        <v>481</v>
      </c>
      <c r="F4" s="423">
        <v>5</v>
      </c>
      <c r="G4" s="423">
        <v>6</v>
      </c>
      <c r="H4" s="423" t="s">
        <v>601</v>
      </c>
      <c r="I4" s="423">
        <v>9</v>
      </c>
      <c r="J4" s="423">
        <v>10</v>
      </c>
      <c r="K4" s="471" t="s">
        <v>601</v>
      </c>
      <c r="L4" s="471">
        <v>9</v>
      </c>
      <c r="M4" s="471">
        <v>10</v>
      </c>
      <c r="N4" s="471"/>
      <c r="O4" s="471" t="s">
        <v>601</v>
      </c>
      <c r="P4" s="471">
        <v>9</v>
      </c>
      <c r="Q4" s="471">
        <v>10</v>
      </c>
      <c r="R4" s="471"/>
      <c r="S4" s="471"/>
      <c r="T4" s="471"/>
      <c r="U4" s="422">
        <v>1</v>
      </c>
      <c r="V4" s="423">
        <v>2</v>
      </c>
      <c r="W4" s="423">
        <v>3</v>
      </c>
      <c r="X4" s="423" t="s">
        <v>481</v>
      </c>
      <c r="Y4" s="423">
        <v>5</v>
      </c>
      <c r="Z4" s="423">
        <v>6</v>
      </c>
    </row>
    <row r="5" spans="1:32" s="12" customFormat="1" ht="15.75" customHeight="1">
      <c r="A5" s="285"/>
      <c r="B5" s="24" t="s">
        <v>79</v>
      </c>
      <c r="C5" s="25" t="s">
        <v>80</v>
      </c>
      <c r="D5" s="26" t="s">
        <v>83</v>
      </c>
      <c r="E5" s="26" t="s">
        <v>83</v>
      </c>
      <c r="F5" s="26" t="s">
        <v>223</v>
      </c>
      <c r="G5" s="26" t="s">
        <v>90</v>
      </c>
      <c r="H5" s="27">
        <f>H6+H25</f>
        <v>57935.22</v>
      </c>
      <c r="I5" s="27">
        <f t="shared" ref="I5:J5" si="0">I6+I25</f>
        <v>56631.340000000004</v>
      </c>
      <c r="J5" s="27">
        <f t="shared" si="0"/>
        <v>56631.340000000004</v>
      </c>
      <c r="K5" s="467">
        <v>57935.22</v>
      </c>
      <c r="L5" s="467">
        <v>56631.340000000004</v>
      </c>
      <c r="M5" s="467">
        <v>56631.340000000004</v>
      </c>
      <c r="N5" s="467"/>
      <c r="O5" s="467">
        <v>56474.689999999995</v>
      </c>
      <c r="P5" s="467">
        <v>56474.689999999995</v>
      </c>
      <c r="Q5" s="467">
        <v>56474.689999999995</v>
      </c>
      <c r="R5" s="472">
        <f t="shared" ref="R5:R68" si="1">H5-O5</f>
        <v>1460.5300000000061</v>
      </c>
      <c r="S5" s="472">
        <f t="shared" ref="S5:S68" si="2">I5-P5</f>
        <v>156.65000000000873</v>
      </c>
      <c r="T5" s="472">
        <f t="shared" ref="T5:T68" si="3">J5-Q5</f>
        <v>156.65000000000873</v>
      </c>
      <c r="U5" s="24" t="s">
        <v>79</v>
      </c>
      <c r="V5" s="25" t="s">
        <v>80</v>
      </c>
      <c r="W5" s="26" t="s">
        <v>83</v>
      </c>
      <c r="X5" s="26" t="s">
        <v>83</v>
      </c>
      <c r="Y5" s="26" t="s">
        <v>223</v>
      </c>
      <c r="Z5" s="26" t="s">
        <v>90</v>
      </c>
      <c r="AA5" s="12" t="b">
        <f t="shared" ref="AA5:AF5" si="4">B5=U5</f>
        <v>1</v>
      </c>
      <c r="AB5" s="12" t="b">
        <f t="shared" si="4"/>
        <v>1</v>
      </c>
      <c r="AC5" s="12" t="b">
        <f t="shared" si="4"/>
        <v>1</v>
      </c>
      <c r="AD5" s="12" t="b">
        <f t="shared" si="4"/>
        <v>1</v>
      </c>
      <c r="AE5" s="12" t="b">
        <f t="shared" si="4"/>
        <v>1</v>
      </c>
      <c r="AF5" s="12" t="b">
        <f t="shared" si="4"/>
        <v>1</v>
      </c>
    </row>
    <row r="6" spans="1:32" s="12" customFormat="1" ht="15.75" customHeight="1">
      <c r="A6" s="285"/>
      <c r="B6" s="28" t="s">
        <v>97</v>
      </c>
      <c r="C6" s="29" t="s">
        <v>80</v>
      </c>
      <c r="D6" s="30" t="s">
        <v>98</v>
      </c>
      <c r="E6" s="30" t="s">
        <v>83</v>
      </c>
      <c r="F6" s="30" t="s">
        <v>223</v>
      </c>
      <c r="G6" s="30" t="s">
        <v>90</v>
      </c>
      <c r="H6" s="31">
        <f t="shared" ref="H6:J7" si="5">H7</f>
        <v>56844.72</v>
      </c>
      <c r="I6" s="31">
        <f t="shared" si="5"/>
        <v>55540.840000000004</v>
      </c>
      <c r="J6" s="31">
        <f t="shared" si="5"/>
        <v>55540.840000000004</v>
      </c>
      <c r="K6" s="31">
        <v>56844.72</v>
      </c>
      <c r="L6" s="31">
        <v>55540.840000000004</v>
      </c>
      <c r="M6" s="31">
        <v>55540.840000000004</v>
      </c>
      <c r="N6" s="31"/>
      <c r="O6" s="31">
        <v>55384.189999999995</v>
      </c>
      <c r="P6" s="31">
        <v>55384.189999999995</v>
      </c>
      <c r="Q6" s="31">
        <v>55384.189999999995</v>
      </c>
      <c r="R6" s="472">
        <f t="shared" si="1"/>
        <v>1460.5300000000061</v>
      </c>
      <c r="S6" s="472">
        <f t="shared" si="2"/>
        <v>156.65000000000873</v>
      </c>
      <c r="T6" s="472">
        <f t="shared" si="3"/>
        <v>156.65000000000873</v>
      </c>
      <c r="U6" s="28" t="s">
        <v>97</v>
      </c>
      <c r="V6" s="29" t="s">
        <v>80</v>
      </c>
      <c r="W6" s="30" t="s">
        <v>98</v>
      </c>
      <c r="X6" s="30" t="s">
        <v>83</v>
      </c>
      <c r="Y6" s="30" t="s">
        <v>223</v>
      </c>
      <c r="Z6" s="30" t="s">
        <v>90</v>
      </c>
      <c r="AA6" s="12" t="b">
        <f t="shared" ref="AA6:AA69" si="6">B6=U6</f>
        <v>1</v>
      </c>
      <c r="AB6" s="12" t="b">
        <f t="shared" ref="AB6:AB69" si="7">C6=V6</f>
        <v>1</v>
      </c>
      <c r="AC6" s="12" t="b">
        <f t="shared" ref="AC6:AC69" si="8">D6=W6</f>
        <v>1</v>
      </c>
      <c r="AD6" s="12" t="b">
        <f t="shared" ref="AD6:AD69" si="9">E6=X6</f>
        <v>1</v>
      </c>
      <c r="AE6" s="12" t="b">
        <f t="shared" ref="AE6:AE69" si="10">F6=Y6</f>
        <v>1</v>
      </c>
      <c r="AF6" s="12" t="b">
        <f t="shared" ref="AF6:AF69" si="11">G6=Z6</f>
        <v>1</v>
      </c>
    </row>
    <row r="7" spans="1:32" s="12" customFormat="1" ht="15.75" customHeight="1">
      <c r="A7" s="285"/>
      <c r="B7" s="32" t="s">
        <v>88</v>
      </c>
      <c r="C7" s="33" t="s">
        <v>80</v>
      </c>
      <c r="D7" s="34" t="s">
        <v>98</v>
      </c>
      <c r="E7" s="34" t="s">
        <v>85</v>
      </c>
      <c r="F7" s="34" t="s">
        <v>223</v>
      </c>
      <c r="G7" s="34" t="s">
        <v>90</v>
      </c>
      <c r="H7" s="35">
        <f t="shared" si="5"/>
        <v>56844.72</v>
      </c>
      <c r="I7" s="35">
        <f t="shared" si="5"/>
        <v>55540.840000000004</v>
      </c>
      <c r="J7" s="35">
        <f t="shared" si="5"/>
        <v>55540.840000000004</v>
      </c>
      <c r="K7" s="35">
        <v>56844.72</v>
      </c>
      <c r="L7" s="35">
        <v>55540.840000000004</v>
      </c>
      <c r="M7" s="35">
        <v>55540.840000000004</v>
      </c>
      <c r="N7" s="35"/>
      <c r="O7" s="35">
        <v>55384.189999999995</v>
      </c>
      <c r="P7" s="35">
        <v>55384.189999999995</v>
      </c>
      <c r="Q7" s="35">
        <v>55384.189999999995</v>
      </c>
      <c r="R7" s="472">
        <f t="shared" si="1"/>
        <v>1460.5300000000061</v>
      </c>
      <c r="S7" s="472">
        <f t="shared" si="2"/>
        <v>156.65000000000873</v>
      </c>
      <c r="T7" s="472">
        <f t="shared" si="3"/>
        <v>156.65000000000873</v>
      </c>
      <c r="U7" s="32" t="s">
        <v>88</v>
      </c>
      <c r="V7" s="33" t="s">
        <v>80</v>
      </c>
      <c r="W7" s="34" t="s">
        <v>98</v>
      </c>
      <c r="X7" s="34" t="s">
        <v>85</v>
      </c>
      <c r="Y7" s="34" t="s">
        <v>223</v>
      </c>
      <c r="Z7" s="34" t="s">
        <v>90</v>
      </c>
      <c r="AA7" s="12" t="b">
        <f t="shared" si="6"/>
        <v>1</v>
      </c>
      <c r="AB7" s="12" t="b">
        <f t="shared" si="7"/>
        <v>1</v>
      </c>
      <c r="AC7" s="12" t="b">
        <f t="shared" si="8"/>
        <v>1</v>
      </c>
      <c r="AD7" s="12" t="b">
        <f t="shared" si="9"/>
        <v>1</v>
      </c>
      <c r="AE7" s="12" t="b">
        <f t="shared" si="10"/>
        <v>1</v>
      </c>
      <c r="AF7" s="12" t="b">
        <f t="shared" si="11"/>
        <v>1</v>
      </c>
    </row>
    <row r="8" spans="1:32" s="12" customFormat="1" ht="15.75" customHeight="1">
      <c r="A8" s="285"/>
      <c r="B8" s="182" t="s">
        <v>159</v>
      </c>
      <c r="C8" s="36" t="s">
        <v>80</v>
      </c>
      <c r="D8" s="37" t="s">
        <v>98</v>
      </c>
      <c r="E8" s="37" t="s">
        <v>85</v>
      </c>
      <c r="F8" s="37" t="s">
        <v>224</v>
      </c>
      <c r="G8" s="37" t="s">
        <v>90</v>
      </c>
      <c r="H8" s="183">
        <f>H9+H20+H15</f>
        <v>56844.72</v>
      </c>
      <c r="I8" s="183">
        <f t="shared" ref="I8:J8" si="12">I9+I20+I15</f>
        <v>55540.840000000004</v>
      </c>
      <c r="J8" s="183">
        <f t="shared" si="12"/>
        <v>55540.840000000004</v>
      </c>
      <c r="K8" s="183">
        <v>56844.72</v>
      </c>
      <c r="L8" s="183">
        <v>55540.840000000004</v>
      </c>
      <c r="M8" s="183">
        <v>55540.840000000004</v>
      </c>
      <c r="N8" s="183"/>
      <c r="O8" s="183">
        <v>55384.189999999995</v>
      </c>
      <c r="P8" s="183">
        <v>55384.189999999995</v>
      </c>
      <c r="Q8" s="183">
        <v>55384.189999999995</v>
      </c>
      <c r="R8" s="472">
        <f t="shared" si="1"/>
        <v>1460.5300000000061</v>
      </c>
      <c r="S8" s="472">
        <f t="shared" si="2"/>
        <v>156.65000000000873</v>
      </c>
      <c r="T8" s="472">
        <f t="shared" si="3"/>
        <v>156.65000000000873</v>
      </c>
      <c r="U8" s="182" t="s">
        <v>159</v>
      </c>
      <c r="V8" s="36" t="s">
        <v>80</v>
      </c>
      <c r="W8" s="37" t="s">
        <v>98</v>
      </c>
      <c r="X8" s="37" t="s">
        <v>85</v>
      </c>
      <c r="Y8" s="37" t="s">
        <v>224</v>
      </c>
      <c r="Z8" s="37" t="s">
        <v>90</v>
      </c>
      <c r="AA8" s="12" t="b">
        <f t="shared" si="6"/>
        <v>1</v>
      </c>
      <c r="AB8" s="12" t="b">
        <f t="shared" si="7"/>
        <v>1</v>
      </c>
      <c r="AC8" s="12" t="b">
        <f t="shared" si="8"/>
        <v>1</v>
      </c>
      <c r="AD8" s="12" t="b">
        <f t="shared" si="9"/>
        <v>1</v>
      </c>
      <c r="AE8" s="12" t="b">
        <f t="shared" si="10"/>
        <v>1</v>
      </c>
      <c r="AF8" s="12" t="b">
        <f t="shared" si="11"/>
        <v>1</v>
      </c>
    </row>
    <row r="9" spans="1:32" s="12" customFormat="1" ht="15.75" customHeight="1">
      <c r="A9" s="285"/>
      <c r="B9" s="182" t="s">
        <v>160</v>
      </c>
      <c r="C9" s="36" t="s">
        <v>80</v>
      </c>
      <c r="D9" s="37" t="s">
        <v>98</v>
      </c>
      <c r="E9" s="37" t="s">
        <v>85</v>
      </c>
      <c r="F9" s="37" t="s">
        <v>227</v>
      </c>
      <c r="G9" s="37" t="s">
        <v>90</v>
      </c>
      <c r="H9" s="183">
        <f t="shared" ref="H9" si="13">H10+H13</f>
        <v>51161.48</v>
      </c>
      <c r="I9" s="183">
        <f t="shared" ref="I9" si="14">I10+I13</f>
        <v>49857.600000000006</v>
      </c>
      <c r="J9" s="183">
        <f t="shared" ref="J9" si="15">J10+J13</f>
        <v>49857.600000000006</v>
      </c>
      <c r="K9" s="183">
        <v>51161.48</v>
      </c>
      <c r="L9" s="183">
        <v>49857.600000000006</v>
      </c>
      <c r="M9" s="183">
        <v>49857.600000000006</v>
      </c>
      <c r="N9" s="183"/>
      <c r="O9" s="183">
        <v>49700.95</v>
      </c>
      <c r="P9" s="183">
        <v>49700.95</v>
      </c>
      <c r="Q9" s="183">
        <v>49700.95</v>
      </c>
      <c r="R9" s="472">
        <f t="shared" si="1"/>
        <v>1460.5300000000061</v>
      </c>
      <c r="S9" s="472">
        <f t="shared" si="2"/>
        <v>156.65000000000873</v>
      </c>
      <c r="T9" s="472">
        <f t="shared" si="3"/>
        <v>156.65000000000873</v>
      </c>
      <c r="U9" s="182" t="s">
        <v>160</v>
      </c>
      <c r="V9" s="36" t="s">
        <v>80</v>
      </c>
      <c r="W9" s="37" t="s">
        <v>98</v>
      </c>
      <c r="X9" s="37" t="s">
        <v>85</v>
      </c>
      <c r="Y9" s="37" t="s">
        <v>227</v>
      </c>
      <c r="Z9" s="37" t="s">
        <v>90</v>
      </c>
      <c r="AA9" s="12" t="b">
        <f t="shared" si="6"/>
        <v>1</v>
      </c>
      <c r="AB9" s="12" t="b">
        <f t="shared" si="7"/>
        <v>1</v>
      </c>
      <c r="AC9" s="12" t="b">
        <f t="shared" si="8"/>
        <v>1</v>
      </c>
      <c r="AD9" s="12" t="b">
        <f t="shared" si="9"/>
        <v>1</v>
      </c>
      <c r="AE9" s="12" t="b">
        <f t="shared" si="10"/>
        <v>1</v>
      </c>
      <c r="AF9" s="12" t="b">
        <f t="shared" si="11"/>
        <v>1</v>
      </c>
    </row>
    <row r="10" spans="1:32" s="12" customFormat="1" ht="15.75" customHeight="1">
      <c r="A10" s="285"/>
      <c r="B10" s="182" t="s">
        <v>151</v>
      </c>
      <c r="C10" s="36" t="s">
        <v>80</v>
      </c>
      <c r="D10" s="37" t="s">
        <v>98</v>
      </c>
      <c r="E10" s="37" t="s">
        <v>85</v>
      </c>
      <c r="F10" s="37" t="s">
        <v>228</v>
      </c>
      <c r="G10" s="37" t="s">
        <v>90</v>
      </c>
      <c r="H10" s="183">
        <f>H11+H12</f>
        <v>10322.86</v>
      </c>
      <c r="I10" s="183">
        <f t="shared" ref="I10:J10" si="16">I11+I12</f>
        <v>9018.98</v>
      </c>
      <c r="J10" s="183">
        <f t="shared" si="16"/>
        <v>9018.98</v>
      </c>
      <c r="K10" s="183">
        <v>10322.86</v>
      </c>
      <c r="L10" s="183">
        <v>9018.98</v>
      </c>
      <c r="M10" s="183">
        <v>9018.98</v>
      </c>
      <c r="N10" s="183"/>
      <c r="O10" s="183">
        <v>9018.98</v>
      </c>
      <c r="P10" s="183">
        <v>9018.98</v>
      </c>
      <c r="Q10" s="183">
        <v>9018.98</v>
      </c>
      <c r="R10" s="472">
        <f t="shared" si="1"/>
        <v>1303.880000000001</v>
      </c>
      <c r="S10" s="472">
        <f t="shared" si="2"/>
        <v>0</v>
      </c>
      <c r="T10" s="472">
        <f t="shared" si="3"/>
        <v>0</v>
      </c>
      <c r="U10" s="182" t="s">
        <v>151</v>
      </c>
      <c r="V10" s="36" t="s">
        <v>80</v>
      </c>
      <c r="W10" s="37" t="s">
        <v>98</v>
      </c>
      <c r="X10" s="37" t="s">
        <v>85</v>
      </c>
      <c r="Y10" s="37" t="s">
        <v>228</v>
      </c>
      <c r="Z10" s="37" t="s">
        <v>90</v>
      </c>
      <c r="AA10" s="12" t="b">
        <f t="shared" si="6"/>
        <v>1</v>
      </c>
      <c r="AB10" s="12" t="b">
        <f t="shared" si="7"/>
        <v>1</v>
      </c>
      <c r="AC10" s="12" t="b">
        <f t="shared" si="8"/>
        <v>1</v>
      </c>
      <c r="AD10" s="12" t="b">
        <f t="shared" si="9"/>
        <v>1</v>
      </c>
      <c r="AE10" s="12" t="b">
        <f t="shared" si="10"/>
        <v>1</v>
      </c>
      <c r="AF10" s="12" t="b">
        <f t="shared" si="11"/>
        <v>1</v>
      </c>
    </row>
    <row r="11" spans="1:32" s="12" customFormat="1" ht="15.75" customHeight="1">
      <c r="A11" s="285"/>
      <c r="B11" s="182" t="s">
        <v>144</v>
      </c>
      <c r="C11" s="36" t="s">
        <v>80</v>
      </c>
      <c r="D11" s="37" t="s">
        <v>98</v>
      </c>
      <c r="E11" s="37" t="s">
        <v>85</v>
      </c>
      <c r="F11" s="37" t="s">
        <v>228</v>
      </c>
      <c r="G11" s="37" t="s">
        <v>152</v>
      </c>
      <c r="H11" s="183">
        <v>4816.28</v>
      </c>
      <c r="I11" s="183">
        <v>4816.28</v>
      </c>
      <c r="J11" s="183">
        <v>4816.28</v>
      </c>
      <c r="K11" s="183">
        <v>4816.28</v>
      </c>
      <c r="L11" s="183">
        <v>4816.28</v>
      </c>
      <c r="M11" s="183">
        <v>4816.28</v>
      </c>
      <c r="N11" s="183"/>
      <c r="O11" s="183">
        <v>4816.28</v>
      </c>
      <c r="P11" s="183">
        <v>4816.28</v>
      </c>
      <c r="Q11" s="183">
        <v>4816.28</v>
      </c>
      <c r="R11" s="472">
        <f t="shared" si="1"/>
        <v>0</v>
      </c>
      <c r="S11" s="472">
        <f t="shared" si="2"/>
        <v>0</v>
      </c>
      <c r="T11" s="472">
        <f t="shared" si="3"/>
        <v>0</v>
      </c>
      <c r="U11" s="182" t="s">
        <v>144</v>
      </c>
      <c r="V11" s="36" t="s">
        <v>80</v>
      </c>
      <c r="W11" s="37" t="s">
        <v>98</v>
      </c>
      <c r="X11" s="37" t="s">
        <v>85</v>
      </c>
      <c r="Y11" s="37" t="s">
        <v>228</v>
      </c>
      <c r="Z11" s="37" t="s">
        <v>152</v>
      </c>
      <c r="AA11" s="12" t="b">
        <f t="shared" si="6"/>
        <v>1</v>
      </c>
      <c r="AB11" s="12" t="b">
        <f t="shared" si="7"/>
        <v>1</v>
      </c>
      <c r="AC11" s="12" t="b">
        <f t="shared" si="8"/>
        <v>1</v>
      </c>
      <c r="AD11" s="12" t="b">
        <f t="shared" si="9"/>
        <v>1</v>
      </c>
      <c r="AE11" s="12" t="b">
        <f t="shared" si="10"/>
        <v>1</v>
      </c>
      <c r="AF11" s="12" t="b">
        <f t="shared" si="11"/>
        <v>1</v>
      </c>
    </row>
    <row r="12" spans="1:32" s="12" customFormat="1" ht="15.75" customHeight="1">
      <c r="A12" s="285"/>
      <c r="B12" s="182" t="s">
        <v>145</v>
      </c>
      <c r="C12" s="36" t="s">
        <v>80</v>
      </c>
      <c r="D12" s="37" t="s">
        <v>98</v>
      </c>
      <c r="E12" s="37" t="s">
        <v>85</v>
      </c>
      <c r="F12" s="37" t="s">
        <v>228</v>
      </c>
      <c r="G12" s="37" t="s">
        <v>153</v>
      </c>
      <c r="H12" s="183">
        <f>6464.44-1509.41-752.33+1303.88</f>
        <v>5506.58</v>
      </c>
      <c r="I12" s="183">
        <f t="shared" ref="I12:J12" si="17">6464.44-1509.41-752.33</f>
        <v>4202.7</v>
      </c>
      <c r="J12" s="183">
        <f t="shared" si="17"/>
        <v>4202.7</v>
      </c>
      <c r="K12" s="183">
        <v>5506.58</v>
      </c>
      <c r="L12" s="183">
        <v>4202.7</v>
      </c>
      <c r="M12" s="183">
        <v>4202.7</v>
      </c>
      <c r="N12" s="183"/>
      <c r="O12" s="183">
        <v>4202.7</v>
      </c>
      <c r="P12" s="183">
        <v>4202.7</v>
      </c>
      <c r="Q12" s="183">
        <v>4202.7</v>
      </c>
      <c r="R12" s="472">
        <f t="shared" si="1"/>
        <v>1303.8800000000001</v>
      </c>
      <c r="S12" s="472">
        <f t="shared" si="2"/>
        <v>0</v>
      </c>
      <c r="T12" s="472">
        <f t="shared" si="3"/>
        <v>0</v>
      </c>
      <c r="U12" s="182" t="s">
        <v>145</v>
      </c>
      <c r="V12" s="36" t="s">
        <v>80</v>
      </c>
      <c r="W12" s="37" t="s">
        <v>98</v>
      </c>
      <c r="X12" s="37" t="s">
        <v>85</v>
      </c>
      <c r="Y12" s="37" t="s">
        <v>228</v>
      </c>
      <c r="Z12" s="37" t="s">
        <v>153</v>
      </c>
      <c r="AA12" s="12" t="b">
        <f t="shared" si="6"/>
        <v>1</v>
      </c>
      <c r="AB12" s="12" t="b">
        <f t="shared" si="7"/>
        <v>1</v>
      </c>
      <c r="AC12" s="12" t="b">
        <f t="shared" si="8"/>
        <v>1</v>
      </c>
      <c r="AD12" s="12" t="b">
        <f t="shared" si="9"/>
        <v>1</v>
      </c>
      <c r="AE12" s="12" t="b">
        <f t="shared" si="10"/>
        <v>1</v>
      </c>
      <c r="AF12" s="12" t="b">
        <f t="shared" si="11"/>
        <v>1</v>
      </c>
    </row>
    <row r="13" spans="1:32" s="12" customFormat="1" ht="15.75" customHeight="1">
      <c r="A13" s="285"/>
      <c r="B13" s="22" t="s">
        <v>161</v>
      </c>
      <c r="C13" s="36" t="s">
        <v>80</v>
      </c>
      <c r="D13" s="37" t="s">
        <v>98</v>
      </c>
      <c r="E13" s="37" t="s">
        <v>85</v>
      </c>
      <c r="F13" s="37" t="s">
        <v>229</v>
      </c>
      <c r="G13" s="37" t="s">
        <v>90</v>
      </c>
      <c r="H13" s="183">
        <f>H14</f>
        <v>40838.620000000003</v>
      </c>
      <c r="I13" s="183">
        <f t="shared" ref="I13:J13" si="18">I14</f>
        <v>40838.620000000003</v>
      </c>
      <c r="J13" s="183">
        <f t="shared" si="18"/>
        <v>40838.620000000003</v>
      </c>
      <c r="K13" s="183">
        <v>40838.620000000003</v>
      </c>
      <c r="L13" s="183">
        <v>40838.620000000003</v>
      </c>
      <c r="M13" s="183">
        <v>40838.620000000003</v>
      </c>
      <c r="N13" s="183"/>
      <c r="O13" s="183">
        <v>40681.969999999994</v>
      </c>
      <c r="P13" s="183">
        <v>40681.969999999994</v>
      </c>
      <c r="Q13" s="183">
        <v>40681.969999999994</v>
      </c>
      <c r="R13" s="472">
        <f t="shared" si="1"/>
        <v>156.65000000000873</v>
      </c>
      <c r="S13" s="472">
        <f t="shared" si="2"/>
        <v>156.65000000000873</v>
      </c>
      <c r="T13" s="472">
        <f t="shared" si="3"/>
        <v>156.65000000000873</v>
      </c>
      <c r="U13" s="22" t="s">
        <v>161</v>
      </c>
      <c r="V13" s="36" t="s">
        <v>80</v>
      </c>
      <c r="W13" s="37" t="s">
        <v>98</v>
      </c>
      <c r="X13" s="37" t="s">
        <v>85</v>
      </c>
      <c r="Y13" s="37" t="s">
        <v>229</v>
      </c>
      <c r="Z13" s="37" t="s">
        <v>90</v>
      </c>
      <c r="AA13" s="12" t="b">
        <f t="shared" si="6"/>
        <v>1</v>
      </c>
      <c r="AB13" s="12" t="b">
        <f t="shared" si="7"/>
        <v>1</v>
      </c>
      <c r="AC13" s="12" t="b">
        <f t="shared" si="8"/>
        <v>1</v>
      </c>
      <c r="AD13" s="12" t="b">
        <f t="shared" si="9"/>
        <v>1</v>
      </c>
      <c r="AE13" s="12" t="b">
        <f t="shared" si="10"/>
        <v>1</v>
      </c>
      <c r="AF13" s="12" t="b">
        <f t="shared" si="11"/>
        <v>1</v>
      </c>
    </row>
    <row r="14" spans="1:32" s="12" customFormat="1" ht="15.75" customHeight="1">
      <c r="A14" s="285"/>
      <c r="B14" s="54" t="s">
        <v>144</v>
      </c>
      <c r="C14" s="56" t="s">
        <v>80</v>
      </c>
      <c r="D14" s="57" t="s">
        <v>98</v>
      </c>
      <c r="E14" s="57" t="s">
        <v>85</v>
      </c>
      <c r="F14" s="57" t="s">
        <v>229</v>
      </c>
      <c r="G14" s="57" t="s">
        <v>152</v>
      </c>
      <c r="H14" s="58">
        <f>40681.97+156.65</f>
        <v>40838.620000000003</v>
      </c>
      <c r="I14" s="58">
        <f>40681.97+156.65</f>
        <v>40838.620000000003</v>
      </c>
      <c r="J14" s="58">
        <f>40681.97+156.65</f>
        <v>40838.620000000003</v>
      </c>
      <c r="K14" s="58">
        <v>40838.620000000003</v>
      </c>
      <c r="L14" s="58">
        <v>40838.620000000003</v>
      </c>
      <c r="M14" s="58">
        <v>40838.620000000003</v>
      </c>
      <c r="N14" s="58"/>
      <c r="O14" s="58">
        <v>40681.969999999994</v>
      </c>
      <c r="P14" s="58">
        <v>40681.969999999994</v>
      </c>
      <c r="Q14" s="58">
        <v>40681.969999999994</v>
      </c>
      <c r="R14" s="472">
        <f t="shared" si="1"/>
        <v>156.65000000000873</v>
      </c>
      <c r="S14" s="472">
        <f t="shared" si="2"/>
        <v>156.65000000000873</v>
      </c>
      <c r="T14" s="472">
        <f t="shared" si="3"/>
        <v>156.65000000000873</v>
      </c>
      <c r="U14" s="54" t="s">
        <v>144</v>
      </c>
      <c r="V14" s="56" t="s">
        <v>80</v>
      </c>
      <c r="W14" s="57" t="s">
        <v>98</v>
      </c>
      <c r="X14" s="57" t="s">
        <v>85</v>
      </c>
      <c r="Y14" s="57" t="s">
        <v>229</v>
      </c>
      <c r="Z14" s="57" t="s">
        <v>152</v>
      </c>
      <c r="AA14" s="12" t="b">
        <f t="shared" si="6"/>
        <v>1</v>
      </c>
      <c r="AB14" s="12" t="b">
        <f t="shared" si="7"/>
        <v>1</v>
      </c>
      <c r="AC14" s="12" t="b">
        <f t="shared" si="8"/>
        <v>1</v>
      </c>
      <c r="AD14" s="12" t="b">
        <f t="shared" si="9"/>
        <v>1</v>
      </c>
      <c r="AE14" s="12" t="b">
        <f t="shared" si="10"/>
        <v>1</v>
      </c>
      <c r="AF14" s="12" t="b">
        <f t="shared" si="11"/>
        <v>1</v>
      </c>
    </row>
    <row r="15" spans="1:32" s="12" customFormat="1" ht="15.75" customHeight="1">
      <c r="A15" s="285"/>
      <c r="B15" s="22" t="s">
        <v>725</v>
      </c>
      <c r="C15" s="36" t="s">
        <v>80</v>
      </c>
      <c r="D15" s="37" t="s">
        <v>98</v>
      </c>
      <c r="E15" s="37" t="s">
        <v>85</v>
      </c>
      <c r="F15" s="37" t="s">
        <v>225</v>
      </c>
      <c r="G15" s="37" t="s">
        <v>90</v>
      </c>
      <c r="H15" s="183">
        <f>H18+H16</f>
        <v>2080.5300000000002</v>
      </c>
      <c r="I15" s="183">
        <f t="shared" ref="I15:J15" si="19">I18+I16</f>
        <v>2080.5300000000002</v>
      </c>
      <c r="J15" s="183">
        <f t="shared" si="19"/>
        <v>2080.5300000000002</v>
      </c>
      <c r="K15" s="183">
        <v>2080.5300000000002</v>
      </c>
      <c r="L15" s="183">
        <v>2080.5300000000002</v>
      </c>
      <c r="M15" s="183">
        <v>2080.5300000000002</v>
      </c>
      <c r="N15" s="183"/>
      <c r="O15" s="183">
        <v>2080.5300000000002</v>
      </c>
      <c r="P15" s="183">
        <v>2080.5300000000002</v>
      </c>
      <c r="Q15" s="183">
        <v>2080.5300000000002</v>
      </c>
      <c r="R15" s="472">
        <f t="shared" si="1"/>
        <v>0</v>
      </c>
      <c r="S15" s="472">
        <f t="shared" si="2"/>
        <v>0</v>
      </c>
      <c r="T15" s="472">
        <f t="shared" si="3"/>
        <v>0</v>
      </c>
      <c r="U15" s="22" t="s">
        <v>725</v>
      </c>
      <c r="V15" s="36" t="s">
        <v>80</v>
      </c>
      <c r="W15" s="37" t="s">
        <v>98</v>
      </c>
      <c r="X15" s="37" t="s">
        <v>85</v>
      </c>
      <c r="Y15" s="37" t="s">
        <v>225</v>
      </c>
      <c r="Z15" s="37" t="s">
        <v>90</v>
      </c>
      <c r="AA15" s="12" t="b">
        <f t="shared" si="6"/>
        <v>1</v>
      </c>
      <c r="AB15" s="12" t="b">
        <f t="shared" si="7"/>
        <v>1</v>
      </c>
      <c r="AC15" s="12" t="b">
        <f t="shared" si="8"/>
        <v>1</v>
      </c>
      <c r="AD15" s="12" t="b">
        <f t="shared" si="9"/>
        <v>1</v>
      </c>
      <c r="AE15" s="12" t="b">
        <f t="shared" si="10"/>
        <v>1</v>
      </c>
      <c r="AF15" s="12" t="b">
        <f t="shared" si="11"/>
        <v>1</v>
      </c>
    </row>
    <row r="16" spans="1:32" s="12" customFormat="1" ht="15.75" customHeight="1">
      <c r="A16" s="285"/>
      <c r="B16" s="182" t="s">
        <v>151</v>
      </c>
      <c r="C16" s="36" t="s">
        <v>80</v>
      </c>
      <c r="D16" s="37" t="s">
        <v>98</v>
      </c>
      <c r="E16" s="37" t="s">
        <v>85</v>
      </c>
      <c r="F16" s="37" t="s">
        <v>540</v>
      </c>
      <c r="G16" s="37" t="s">
        <v>90</v>
      </c>
      <c r="H16" s="183">
        <f>H17</f>
        <v>41.55</v>
      </c>
      <c r="I16" s="183">
        <f t="shared" ref="I16:J16" si="20">I17</f>
        <v>41.55</v>
      </c>
      <c r="J16" s="183">
        <f t="shared" si="20"/>
        <v>41.55</v>
      </c>
      <c r="K16" s="183">
        <v>41.55</v>
      </c>
      <c r="L16" s="183">
        <v>41.55</v>
      </c>
      <c r="M16" s="183">
        <v>41.55</v>
      </c>
      <c r="N16" s="183"/>
      <c r="O16" s="183">
        <v>41.55</v>
      </c>
      <c r="P16" s="183">
        <v>41.55</v>
      </c>
      <c r="Q16" s="183">
        <v>41.55</v>
      </c>
      <c r="R16" s="472">
        <f t="shared" si="1"/>
        <v>0</v>
      </c>
      <c r="S16" s="472">
        <f t="shared" si="2"/>
        <v>0</v>
      </c>
      <c r="T16" s="472">
        <f t="shared" si="3"/>
        <v>0</v>
      </c>
      <c r="U16" s="182" t="s">
        <v>151</v>
      </c>
      <c r="V16" s="36" t="s">
        <v>80</v>
      </c>
      <c r="W16" s="37" t="s">
        <v>98</v>
      </c>
      <c r="X16" s="37" t="s">
        <v>85</v>
      </c>
      <c r="Y16" s="37" t="s">
        <v>540</v>
      </c>
      <c r="Z16" s="37" t="s">
        <v>90</v>
      </c>
      <c r="AA16" s="12" t="b">
        <f t="shared" si="6"/>
        <v>1</v>
      </c>
      <c r="AB16" s="12" t="b">
        <f t="shared" si="7"/>
        <v>1</v>
      </c>
      <c r="AC16" s="12" t="b">
        <f t="shared" si="8"/>
        <v>1</v>
      </c>
      <c r="AD16" s="12" t="b">
        <f t="shared" si="9"/>
        <v>1</v>
      </c>
      <c r="AE16" s="12" t="b">
        <f t="shared" si="10"/>
        <v>1</v>
      </c>
      <c r="AF16" s="12" t="b">
        <f t="shared" si="11"/>
        <v>1</v>
      </c>
    </row>
    <row r="17" spans="1:32" s="12" customFormat="1" ht="15.75" customHeight="1">
      <c r="A17" s="285"/>
      <c r="B17" s="182" t="s">
        <v>144</v>
      </c>
      <c r="C17" s="36" t="s">
        <v>80</v>
      </c>
      <c r="D17" s="37" t="s">
        <v>98</v>
      </c>
      <c r="E17" s="37" t="s">
        <v>85</v>
      </c>
      <c r="F17" s="37" t="s">
        <v>540</v>
      </c>
      <c r="G17" s="37" t="s">
        <v>152</v>
      </c>
      <c r="H17" s="183">
        <v>41.55</v>
      </c>
      <c r="I17" s="183">
        <v>41.55</v>
      </c>
      <c r="J17" s="183">
        <v>41.55</v>
      </c>
      <c r="K17" s="183">
        <v>41.55</v>
      </c>
      <c r="L17" s="183">
        <v>41.55</v>
      </c>
      <c r="M17" s="183">
        <v>41.55</v>
      </c>
      <c r="N17" s="183"/>
      <c r="O17" s="183">
        <v>41.55</v>
      </c>
      <c r="P17" s="183">
        <v>41.55</v>
      </c>
      <c r="Q17" s="183">
        <v>41.55</v>
      </c>
      <c r="R17" s="472">
        <f t="shared" si="1"/>
        <v>0</v>
      </c>
      <c r="S17" s="472">
        <f t="shared" si="2"/>
        <v>0</v>
      </c>
      <c r="T17" s="472">
        <f t="shared" si="3"/>
        <v>0</v>
      </c>
      <c r="U17" s="182" t="s">
        <v>144</v>
      </c>
      <c r="V17" s="36" t="s">
        <v>80</v>
      </c>
      <c r="W17" s="37" t="s">
        <v>98</v>
      </c>
      <c r="X17" s="37" t="s">
        <v>85</v>
      </c>
      <c r="Y17" s="37" t="s">
        <v>540</v>
      </c>
      <c r="Z17" s="37" t="s">
        <v>152</v>
      </c>
      <c r="AA17" s="12" t="b">
        <f t="shared" si="6"/>
        <v>1</v>
      </c>
      <c r="AB17" s="12" t="b">
        <f t="shared" si="7"/>
        <v>1</v>
      </c>
      <c r="AC17" s="12" t="b">
        <f t="shared" si="8"/>
        <v>1</v>
      </c>
      <c r="AD17" s="12" t="b">
        <f t="shared" si="9"/>
        <v>1</v>
      </c>
      <c r="AE17" s="12" t="b">
        <f t="shared" si="10"/>
        <v>1</v>
      </c>
      <c r="AF17" s="12" t="b">
        <f t="shared" si="11"/>
        <v>1</v>
      </c>
    </row>
    <row r="18" spans="1:32" s="12" customFormat="1" ht="15.75" customHeight="1">
      <c r="A18" s="285"/>
      <c r="B18" s="22" t="s">
        <v>161</v>
      </c>
      <c r="C18" s="36" t="s">
        <v>80</v>
      </c>
      <c r="D18" s="37" t="s">
        <v>98</v>
      </c>
      <c r="E18" s="37" t="s">
        <v>85</v>
      </c>
      <c r="F18" s="37" t="s">
        <v>226</v>
      </c>
      <c r="G18" s="37" t="s">
        <v>90</v>
      </c>
      <c r="H18" s="183">
        <f>H19</f>
        <v>2038.98</v>
      </c>
      <c r="I18" s="183">
        <f t="shared" ref="I18:J18" si="21">I19</f>
        <v>2038.98</v>
      </c>
      <c r="J18" s="183">
        <f t="shared" si="21"/>
        <v>2038.98</v>
      </c>
      <c r="K18" s="183">
        <v>2038.98</v>
      </c>
      <c r="L18" s="183">
        <v>2038.98</v>
      </c>
      <c r="M18" s="183">
        <v>2038.98</v>
      </c>
      <c r="N18" s="183"/>
      <c r="O18" s="183">
        <v>2038.98</v>
      </c>
      <c r="P18" s="183">
        <v>2038.98</v>
      </c>
      <c r="Q18" s="183">
        <v>2038.98</v>
      </c>
      <c r="R18" s="472">
        <f t="shared" si="1"/>
        <v>0</v>
      </c>
      <c r="S18" s="472">
        <f t="shared" si="2"/>
        <v>0</v>
      </c>
      <c r="T18" s="472">
        <f t="shared" si="3"/>
        <v>0</v>
      </c>
      <c r="U18" s="22" t="s">
        <v>161</v>
      </c>
      <c r="V18" s="36" t="s">
        <v>80</v>
      </c>
      <c r="W18" s="37" t="s">
        <v>98</v>
      </c>
      <c r="X18" s="37" t="s">
        <v>85</v>
      </c>
      <c r="Y18" s="37" t="s">
        <v>226</v>
      </c>
      <c r="Z18" s="37" t="s">
        <v>90</v>
      </c>
      <c r="AA18" s="12" t="b">
        <f t="shared" si="6"/>
        <v>1</v>
      </c>
      <c r="AB18" s="12" t="b">
        <f t="shared" si="7"/>
        <v>1</v>
      </c>
      <c r="AC18" s="12" t="b">
        <f t="shared" si="8"/>
        <v>1</v>
      </c>
      <c r="AD18" s="12" t="b">
        <f t="shared" si="9"/>
        <v>1</v>
      </c>
      <c r="AE18" s="12" t="b">
        <f t="shared" si="10"/>
        <v>1</v>
      </c>
      <c r="AF18" s="12" t="b">
        <f t="shared" si="11"/>
        <v>1</v>
      </c>
    </row>
    <row r="19" spans="1:32" s="12" customFormat="1" ht="15.75" customHeight="1">
      <c r="A19" s="285"/>
      <c r="B19" s="54" t="s">
        <v>144</v>
      </c>
      <c r="C19" s="56" t="s">
        <v>80</v>
      </c>
      <c r="D19" s="57" t="s">
        <v>98</v>
      </c>
      <c r="E19" s="57" t="s">
        <v>85</v>
      </c>
      <c r="F19" s="57" t="s">
        <v>226</v>
      </c>
      <c r="G19" s="57" t="s">
        <v>152</v>
      </c>
      <c r="H19" s="58">
        <f>1581+272.59+142.39+43</f>
        <v>2038.98</v>
      </c>
      <c r="I19" s="58">
        <f t="shared" ref="I19:J19" si="22">1581+272.59+142.39+43</f>
        <v>2038.98</v>
      </c>
      <c r="J19" s="58">
        <f t="shared" si="22"/>
        <v>2038.98</v>
      </c>
      <c r="K19" s="58">
        <v>2038.98</v>
      </c>
      <c r="L19" s="58">
        <v>2038.98</v>
      </c>
      <c r="M19" s="58">
        <v>2038.98</v>
      </c>
      <c r="N19" s="58"/>
      <c r="O19" s="58">
        <v>2038.98</v>
      </c>
      <c r="P19" s="58">
        <v>2038.98</v>
      </c>
      <c r="Q19" s="58">
        <v>2038.98</v>
      </c>
      <c r="R19" s="472">
        <f t="shared" si="1"/>
        <v>0</v>
      </c>
      <c r="S19" s="472">
        <f t="shared" si="2"/>
        <v>0</v>
      </c>
      <c r="T19" s="472">
        <f t="shared" si="3"/>
        <v>0</v>
      </c>
      <c r="U19" s="54" t="s">
        <v>144</v>
      </c>
      <c r="V19" s="56" t="s">
        <v>80</v>
      </c>
      <c r="W19" s="57" t="s">
        <v>98</v>
      </c>
      <c r="X19" s="57" t="s">
        <v>85</v>
      </c>
      <c r="Y19" s="57" t="s">
        <v>226</v>
      </c>
      <c r="Z19" s="57" t="s">
        <v>152</v>
      </c>
      <c r="AA19" s="12" t="b">
        <f t="shared" si="6"/>
        <v>1</v>
      </c>
      <c r="AB19" s="12" t="b">
        <f t="shared" si="7"/>
        <v>1</v>
      </c>
      <c r="AC19" s="12" t="b">
        <f t="shared" si="8"/>
        <v>1</v>
      </c>
      <c r="AD19" s="12" t="b">
        <f t="shared" si="9"/>
        <v>1</v>
      </c>
      <c r="AE19" s="12" t="b">
        <f t="shared" si="10"/>
        <v>1</v>
      </c>
      <c r="AF19" s="12" t="b">
        <f t="shared" si="11"/>
        <v>1</v>
      </c>
    </row>
    <row r="20" spans="1:32" s="12" customFormat="1" ht="15.75" customHeight="1">
      <c r="A20" s="285"/>
      <c r="B20" s="22" t="s">
        <v>36</v>
      </c>
      <c r="C20" s="36" t="s">
        <v>80</v>
      </c>
      <c r="D20" s="37" t="s">
        <v>98</v>
      </c>
      <c r="E20" s="37" t="s">
        <v>85</v>
      </c>
      <c r="F20" s="37" t="s">
        <v>230</v>
      </c>
      <c r="G20" s="37" t="s">
        <v>90</v>
      </c>
      <c r="H20" s="183">
        <f>H23+H21</f>
        <v>3602.7099999999996</v>
      </c>
      <c r="I20" s="183">
        <f t="shared" ref="I20:J20" si="23">I23+I21</f>
        <v>3602.7099999999996</v>
      </c>
      <c r="J20" s="183">
        <f t="shared" si="23"/>
        <v>3602.7099999999996</v>
      </c>
      <c r="K20" s="183">
        <v>3602.7099999999996</v>
      </c>
      <c r="L20" s="183">
        <v>3602.7099999999996</v>
      </c>
      <c r="M20" s="183">
        <v>3602.7099999999996</v>
      </c>
      <c r="N20" s="183"/>
      <c r="O20" s="183">
        <v>3602.7099999999996</v>
      </c>
      <c r="P20" s="183">
        <v>3602.7099999999996</v>
      </c>
      <c r="Q20" s="183">
        <v>3602.7099999999996</v>
      </c>
      <c r="R20" s="472">
        <f t="shared" si="1"/>
        <v>0</v>
      </c>
      <c r="S20" s="472">
        <f t="shared" si="2"/>
        <v>0</v>
      </c>
      <c r="T20" s="472">
        <f t="shared" si="3"/>
        <v>0</v>
      </c>
      <c r="U20" s="22" t="s">
        <v>36</v>
      </c>
      <c r="V20" s="36" t="s">
        <v>80</v>
      </c>
      <c r="W20" s="37" t="s">
        <v>98</v>
      </c>
      <c r="X20" s="37" t="s">
        <v>85</v>
      </c>
      <c r="Y20" s="37" t="s">
        <v>230</v>
      </c>
      <c r="Z20" s="37" t="s">
        <v>90</v>
      </c>
      <c r="AA20" s="12" t="b">
        <f t="shared" si="6"/>
        <v>1</v>
      </c>
      <c r="AB20" s="12" t="b">
        <f t="shared" si="7"/>
        <v>1</v>
      </c>
      <c r="AC20" s="12" t="b">
        <f t="shared" si="8"/>
        <v>1</v>
      </c>
      <c r="AD20" s="12" t="b">
        <f t="shared" si="9"/>
        <v>1</v>
      </c>
      <c r="AE20" s="12" t="b">
        <f t="shared" si="10"/>
        <v>1</v>
      </c>
      <c r="AF20" s="12" t="b">
        <f t="shared" si="11"/>
        <v>1</v>
      </c>
    </row>
    <row r="21" spans="1:32" s="12" customFormat="1" ht="15.75" customHeight="1">
      <c r="A21" s="285"/>
      <c r="B21" s="182" t="s">
        <v>151</v>
      </c>
      <c r="C21" s="36" t="s">
        <v>80</v>
      </c>
      <c r="D21" s="37" t="s">
        <v>98</v>
      </c>
      <c r="E21" s="37" t="s">
        <v>85</v>
      </c>
      <c r="F21" s="37" t="s">
        <v>553</v>
      </c>
      <c r="G21" s="37" t="s">
        <v>90</v>
      </c>
      <c r="H21" s="183">
        <f>H22</f>
        <v>83.1</v>
      </c>
      <c r="I21" s="183">
        <f t="shared" ref="I21:J21" si="24">I22</f>
        <v>83.1</v>
      </c>
      <c r="J21" s="183">
        <f t="shared" si="24"/>
        <v>83.1</v>
      </c>
      <c r="K21" s="183">
        <v>83.1</v>
      </c>
      <c r="L21" s="183">
        <v>83.1</v>
      </c>
      <c r="M21" s="183">
        <v>83.1</v>
      </c>
      <c r="N21" s="183"/>
      <c r="O21" s="183">
        <v>83.1</v>
      </c>
      <c r="P21" s="183">
        <v>83.1</v>
      </c>
      <c r="Q21" s="183">
        <v>83.1</v>
      </c>
      <c r="R21" s="472">
        <f t="shared" si="1"/>
        <v>0</v>
      </c>
      <c r="S21" s="472">
        <f t="shared" si="2"/>
        <v>0</v>
      </c>
      <c r="T21" s="472">
        <f t="shared" si="3"/>
        <v>0</v>
      </c>
      <c r="U21" s="182" t="s">
        <v>151</v>
      </c>
      <c r="V21" s="36" t="s">
        <v>80</v>
      </c>
      <c r="W21" s="37" t="s">
        <v>98</v>
      </c>
      <c r="X21" s="37" t="s">
        <v>85</v>
      </c>
      <c r="Y21" s="37" t="s">
        <v>553</v>
      </c>
      <c r="Z21" s="37" t="s">
        <v>90</v>
      </c>
      <c r="AA21" s="12" t="b">
        <f t="shared" si="6"/>
        <v>1</v>
      </c>
      <c r="AB21" s="12" t="b">
        <f t="shared" si="7"/>
        <v>1</v>
      </c>
      <c r="AC21" s="12" t="b">
        <f t="shared" si="8"/>
        <v>1</v>
      </c>
      <c r="AD21" s="12" t="b">
        <f t="shared" si="9"/>
        <v>1</v>
      </c>
      <c r="AE21" s="12" t="b">
        <f t="shared" si="10"/>
        <v>1</v>
      </c>
      <c r="AF21" s="12" t="b">
        <f t="shared" si="11"/>
        <v>1</v>
      </c>
    </row>
    <row r="22" spans="1:32" s="12" customFormat="1" ht="15.75" customHeight="1">
      <c r="A22" s="285"/>
      <c r="B22" s="182" t="s">
        <v>144</v>
      </c>
      <c r="C22" s="36" t="s">
        <v>80</v>
      </c>
      <c r="D22" s="37" t="s">
        <v>98</v>
      </c>
      <c r="E22" s="37" t="s">
        <v>85</v>
      </c>
      <c r="F22" s="37" t="s">
        <v>553</v>
      </c>
      <c r="G22" s="37" t="s">
        <v>152</v>
      </c>
      <c r="H22" s="183">
        <v>83.1</v>
      </c>
      <c r="I22" s="183">
        <v>83.1</v>
      </c>
      <c r="J22" s="183">
        <v>83.1</v>
      </c>
      <c r="K22" s="183">
        <v>83.1</v>
      </c>
      <c r="L22" s="183">
        <v>83.1</v>
      </c>
      <c r="M22" s="183">
        <v>83.1</v>
      </c>
      <c r="N22" s="183"/>
      <c r="O22" s="183">
        <v>83.1</v>
      </c>
      <c r="P22" s="183">
        <v>83.1</v>
      </c>
      <c r="Q22" s="183">
        <v>83.1</v>
      </c>
      <c r="R22" s="472">
        <f t="shared" si="1"/>
        <v>0</v>
      </c>
      <c r="S22" s="472">
        <f t="shared" si="2"/>
        <v>0</v>
      </c>
      <c r="T22" s="472">
        <f t="shared" si="3"/>
        <v>0</v>
      </c>
      <c r="U22" s="182" t="s">
        <v>144</v>
      </c>
      <c r="V22" s="36" t="s">
        <v>80</v>
      </c>
      <c r="W22" s="37" t="s">
        <v>98</v>
      </c>
      <c r="X22" s="37" t="s">
        <v>85</v>
      </c>
      <c r="Y22" s="37" t="s">
        <v>553</v>
      </c>
      <c r="Z22" s="37" t="s">
        <v>152</v>
      </c>
      <c r="AA22" s="12" t="b">
        <f t="shared" si="6"/>
        <v>1</v>
      </c>
      <c r="AB22" s="12" t="b">
        <f t="shared" si="7"/>
        <v>1</v>
      </c>
      <c r="AC22" s="12" t="b">
        <f t="shared" si="8"/>
        <v>1</v>
      </c>
      <c r="AD22" s="12" t="b">
        <f t="shared" si="9"/>
        <v>1</v>
      </c>
      <c r="AE22" s="12" t="b">
        <f t="shared" si="10"/>
        <v>1</v>
      </c>
      <c r="AF22" s="12" t="b">
        <f t="shared" si="11"/>
        <v>1</v>
      </c>
    </row>
    <row r="23" spans="1:32" s="12" customFormat="1" ht="15.75" customHeight="1">
      <c r="A23" s="285"/>
      <c r="B23" s="22" t="s">
        <v>161</v>
      </c>
      <c r="C23" s="36" t="s">
        <v>80</v>
      </c>
      <c r="D23" s="37" t="s">
        <v>98</v>
      </c>
      <c r="E23" s="37" t="s">
        <v>85</v>
      </c>
      <c r="F23" s="37" t="s">
        <v>231</v>
      </c>
      <c r="G23" s="37" t="s">
        <v>90</v>
      </c>
      <c r="H23" s="183">
        <f>H24</f>
        <v>3519.6099999999997</v>
      </c>
      <c r="I23" s="183">
        <f t="shared" ref="I23:J23" si="25">I24</f>
        <v>3519.6099999999997</v>
      </c>
      <c r="J23" s="183">
        <f t="shared" si="25"/>
        <v>3519.6099999999997</v>
      </c>
      <c r="K23" s="183">
        <v>3519.6099999999997</v>
      </c>
      <c r="L23" s="183">
        <v>3519.6099999999997</v>
      </c>
      <c r="M23" s="183">
        <v>3519.6099999999997</v>
      </c>
      <c r="N23" s="183"/>
      <c r="O23" s="183">
        <v>3519.6099999999997</v>
      </c>
      <c r="P23" s="183">
        <v>3519.6099999999997</v>
      </c>
      <c r="Q23" s="183">
        <v>3519.6099999999997</v>
      </c>
      <c r="R23" s="472">
        <f t="shared" si="1"/>
        <v>0</v>
      </c>
      <c r="S23" s="472">
        <f t="shared" si="2"/>
        <v>0</v>
      </c>
      <c r="T23" s="472">
        <f t="shared" si="3"/>
        <v>0</v>
      </c>
      <c r="U23" s="22" t="s">
        <v>161</v>
      </c>
      <c r="V23" s="36" t="s">
        <v>80</v>
      </c>
      <c r="W23" s="37" t="s">
        <v>98</v>
      </c>
      <c r="X23" s="37" t="s">
        <v>85</v>
      </c>
      <c r="Y23" s="37" t="s">
        <v>231</v>
      </c>
      <c r="Z23" s="37" t="s">
        <v>90</v>
      </c>
      <c r="AA23" s="12" t="b">
        <f t="shared" si="6"/>
        <v>1</v>
      </c>
      <c r="AB23" s="12" t="b">
        <f t="shared" si="7"/>
        <v>1</v>
      </c>
      <c r="AC23" s="12" t="b">
        <f t="shared" si="8"/>
        <v>1</v>
      </c>
      <c r="AD23" s="12" t="b">
        <f t="shared" si="9"/>
        <v>1</v>
      </c>
      <c r="AE23" s="12" t="b">
        <f t="shared" si="10"/>
        <v>1</v>
      </c>
      <c r="AF23" s="12" t="b">
        <f t="shared" si="11"/>
        <v>1</v>
      </c>
    </row>
    <row r="24" spans="1:32" s="12" customFormat="1" ht="15.75" customHeight="1">
      <c r="A24" s="285"/>
      <c r="B24" s="54" t="s">
        <v>144</v>
      </c>
      <c r="C24" s="56" t="s">
        <v>80</v>
      </c>
      <c r="D24" s="57" t="s">
        <v>98</v>
      </c>
      <c r="E24" s="57" t="s">
        <v>85</v>
      </c>
      <c r="F24" s="57" t="s">
        <v>231</v>
      </c>
      <c r="G24" s="57" t="s">
        <v>152</v>
      </c>
      <c r="H24" s="58">
        <f>2618.69+80.93+257.46+242.47+245.82+74.24</f>
        <v>3519.6099999999997</v>
      </c>
      <c r="I24" s="58">
        <f t="shared" ref="I24:J24" si="26">2618.69+80.93+257.46+242.47+245.82+74.24</f>
        <v>3519.6099999999997</v>
      </c>
      <c r="J24" s="58">
        <f t="shared" si="26"/>
        <v>3519.6099999999997</v>
      </c>
      <c r="K24" s="58">
        <v>3519.6099999999997</v>
      </c>
      <c r="L24" s="58">
        <v>3519.6099999999997</v>
      </c>
      <c r="M24" s="58">
        <v>3519.6099999999997</v>
      </c>
      <c r="N24" s="58"/>
      <c r="O24" s="58">
        <v>3519.6099999999997</v>
      </c>
      <c r="P24" s="58">
        <v>3519.6099999999997</v>
      </c>
      <c r="Q24" s="58">
        <v>3519.6099999999997</v>
      </c>
      <c r="R24" s="472">
        <f t="shared" si="1"/>
        <v>0</v>
      </c>
      <c r="S24" s="472">
        <f t="shared" si="2"/>
        <v>0</v>
      </c>
      <c r="T24" s="472">
        <f t="shared" si="3"/>
        <v>0</v>
      </c>
      <c r="U24" s="54" t="s">
        <v>144</v>
      </c>
      <c r="V24" s="56" t="s">
        <v>80</v>
      </c>
      <c r="W24" s="57" t="s">
        <v>98</v>
      </c>
      <c r="X24" s="57" t="s">
        <v>85</v>
      </c>
      <c r="Y24" s="57" t="s">
        <v>231</v>
      </c>
      <c r="Z24" s="57" t="s">
        <v>152</v>
      </c>
      <c r="AA24" s="12" t="b">
        <f t="shared" si="6"/>
        <v>1</v>
      </c>
      <c r="AB24" s="12" t="b">
        <f t="shared" si="7"/>
        <v>1</v>
      </c>
      <c r="AC24" s="12" t="b">
        <f t="shared" si="8"/>
        <v>1</v>
      </c>
      <c r="AD24" s="12" t="b">
        <f t="shared" si="9"/>
        <v>1</v>
      </c>
      <c r="AE24" s="12" t="b">
        <f t="shared" si="10"/>
        <v>1</v>
      </c>
      <c r="AF24" s="12" t="b">
        <f t="shared" si="11"/>
        <v>1</v>
      </c>
    </row>
    <row r="25" spans="1:32" s="11" customFormat="1" ht="15.75" customHeight="1">
      <c r="A25" s="282"/>
      <c r="B25" s="28" t="s">
        <v>111</v>
      </c>
      <c r="C25" s="29" t="s">
        <v>80</v>
      </c>
      <c r="D25" s="30" t="s">
        <v>72</v>
      </c>
      <c r="E25" s="30" t="s">
        <v>83</v>
      </c>
      <c r="F25" s="30" t="s">
        <v>223</v>
      </c>
      <c r="G25" s="30" t="s">
        <v>90</v>
      </c>
      <c r="H25" s="31">
        <f>H31+H26</f>
        <v>1090.5</v>
      </c>
      <c r="I25" s="31">
        <f t="shared" ref="I25:J25" si="27">I31+I26</f>
        <v>1090.5</v>
      </c>
      <c r="J25" s="31">
        <f t="shared" si="27"/>
        <v>1090.5</v>
      </c>
      <c r="K25" s="31">
        <v>1090.5</v>
      </c>
      <c r="L25" s="31">
        <v>1090.5</v>
      </c>
      <c r="M25" s="31">
        <v>1090.5</v>
      </c>
      <c r="N25" s="31"/>
      <c r="O25" s="31">
        <v>1090.5</v>
      </c>
      <c r="P25" s="31">
        <v>1090.5</v>
      </c>
      <c r="Q25" s="31">
        <v>1090.5</v>
      </c>
      <c r="R25" s="472">
        <f t="shared" si="1"/>
        <v>0</v>
      </c>
      <c r="S25" s="472">
        <f t="shared" si="2"/>
        <v>0</v>
      </c>
      <c r="T25" s="472">
        <f t="shared" si="3"/>
        <v>0</v>
      </c>
      <c r="U25" s="28" t="s">
        <v>111</v>
      </c>
      <c r="V25" s="29" t="s">
        <v>80</v>
      </c>
      <c r="W25" s="30" t="s">
        <v>72</v>
      </c>
      <c r="X25" s="30" t="s">
        <v>83</v>
      </c>
      <c r="Y25" s="30" t="s">
        <v>223</v>
      </c>
      <c r="Z25" s="30" t="s">
        <v>90</v>
      </c>
      <c r="AA25" s="12" t="b">
        <f t="shared" si="6"/>
        <v>1</v>
      </c>
      <c r="AB25" s="12" t="b">
        <f t="shared" si="7"/>
        <v>1</v>
      </c>
      <c r="AC25" s="12" t="b">
        <f t="shared" si="8"/>
        <v>1</v>
      </c>
      <c r="AD25" s="12" t="b">
        <f t="shared" si="9"/>
        <v>1</v>
      </c>
      <c r="AE25" s="12" t="b">
        <f t="shared" si="10"/>
        <v>1</v>
      </c>
      <c r="AF25" s="12" t="b">
        <f t="shared" si="11"/>
        <v>1</v>
      </c>
    </row>
    <row r="26" spans="1:32" s="11" customFormat="1" ht="15.75" customHeight="1">
      <c r="A26" s="282"/>
      <c r="B26" s="32" t="s">
        <v>768</v>
      </c>
      <c r="C26" s="33" t="s">
        <v>80</v>
      </c>
      <c r="D26" s="34" t="s">
        <v>72</v>
      </c>
      <c r="E26" s="34" t="s">
        <v>98</v>
      </c>
      <c r="F26" s="34" t="s">
        <v>223</v>
      </c>
      <c r="G26" s="34" t="s">
        <v>90</v>
      </c>
      <c r="H26" s="35">
        <f t="shared" ref="H26:J27" si="28">H27</f>
        <v>590.5</v>
      </c>
      <c r="I26" s="35">
        <f t="shared" si="28"/>
        <v>590.5</v>
      </c>
      <c r="J26" s="35">
        <f t="shared" si="28"/>
        <v>590.5</v>
      </c>
      <c r="K26" s="35">
        <v>590.5</v>
      </c>
      <c r="L26" s="35">
        <v>590.5</v>
      </c>
      <c r="M26" s="35">
        <v>590.5</v>
      </c>
      <c r="N26" s="35"/>
      <c r="O26" s="35">
        <v>590.5</v>
      </c>
      <c r="P26" s="35">
        <v>590.5</v>
      </c>
      <c r="Q26" s="35">
        <v>590.5</v>
      </c>
      <c r="R26" s="472">
        <f t="shared" si="1"/>
        <v>0</v>
      </c>
      <c r="S26" s="472">
        <f t="shared" si="2"/>
        <v>0</v>
      </c>
      <c r="T26" s="472">
        <f t="shared" si="3"/>
        <v>0</v>
      </c>
      <c r="U26" s="32" t="s">
        <v>768</v>
      </c>
      <c r="V26" s="33" t="s">
        <v>80</v>
      </c>
      <c r="W26" s="34" t="s">
        <v>72</v>
      </c>
      <c r="X26" s="34" t="s">
        <v>98</v>
      </c>
      <c r="Y26" s="34" t="s">
        <v>223</v>
      </c>
      <c r="Z26" s="34" t="s">
        <v>90</v>
      </c>
      <c r="AA26" s="12" t="b">
        <f t="shared" si="6"/>
        <v>1</v>
      </c>
      <c r="AB26" s="12" t="b">
        <f t="shared" si="7"/>
        <v>1</v>
      </c>
      <c r="AC26" s="12" t="b">
        <f t="shared" si="8"/>
        <v>1</v>
      </c>
      <c r="AD26" s="12" t="b">
        <f t="shared" si="9"/>
        <v>1</v>
      </c>
      <c r="AE26" s="12" t="b">
        <f t="shared" si="10"/>
        <v>1</v>
      </c>
      <c r="AF26" s="12" t="b">
        <f t="shared" si="11"/>
        <v>1</v>
      </c>
    </row>
    <row r="27" spans="1:32" s="12" customFormat="1" ht="15.75" customHeight="1">
      <c r="A27" s="285"/>
      <c r="B27" s="182" t="s">
        <v>159</v>
      </c>
      <c r="C27" s="36" t="s">
        <v>80</v>
      </c>
      <c r="D27" s="37" t="s">
        <v>72</v>
      </c>
      <c r="E27" s="37" t="s">
        <v>98</v>
      </c>
      <c r="F27" s="37" t="s">
        <v>224</v>
      </c>
      <c r="G27" s="37" t="s">
        <v>90</v>
      </c>
      <c r="H27" s="183">
        <f t="shared" si="28"/>
        <v>590.5</v>
      </c>
      <c r="I27" s="183">
        <f t="shared" si="28"/>
        <v>590.5</v>
      </c>
      <c r="J27" s="183">
        <f t="shared" si="28"/>
        <v>590.5</v>
      </c>
      <c r="K27" s="183">
        <v>590.5</v>
      </c>
      <c r="L27" s="183">
        <v>590.5</v>
      </c>
      <c r="M27" s="183">
        <v>590.5</v>
      </c>
      <c r="N27" s="183"/>
      <c r="O27" s="183">
        <v>590.5</v>
      </c>
      <c r="P27" s="183">
        <v>590.5</v>
      </c>
      <c r="Q27" s="183">
        <v>590.5</v>
      </c>
      <c r="R27" s="472">
        <f t="shared" si="1"/>
        <v>0</v>
      </c>
      <c r="S27" s="472">
        <f t="shared" si="2"/>
        <v>0</v>
      </c>
      <c r="T27" s="472">
        <f t="shared" si="3"/>
        <v>0</v>
      </c>
      <c r="U27" s="182" t="s">
        <v>159</v>
      </c>
      <c r="V27" s="36" t="s">
        <v>80</v>
      </c>
      <c r="W27" s="37" t="s">
        <v>72</v>
      </c>
      <c r="X27" s="37" t="s">
        <v>98</v>
      </c>
      <c r="Y27" s="37" t="s">
        <v>224</v>
      </c>
      <c r="Z27" s="37" t="s">
        <v>90</v>
      </c>
      <c r="AA27" s="12" t="b">
        <f t="shared" si="6"/>
        <v>1</v>
      </c>
      <c r="AB27" s="12" t="b">
        <f t="shared" si="7"/>
        <v>1</v>
      </c>
      <c r="AC27" s="12" t="b">
        <f t="shared" si="8"/>
        <v>1</v>
      </c>
      <c r="AD27" s="12" t="b">
        <f t="shared" si="9"/>
        <v>1</v>
      </c>
      <c r="AE27" s="12" t="b">
        <f t="shared" si="10"/>
        <v>1</v>
      </c>
      <c r="AF27" s="12" t="b">
        <f t="shared" si="11"/>
        <v>1</v>
      </c>
    </row>
    <row r="28" spans="1:32" s="12" customFormat="1" ht="15.75" customHeight="1">
      <c r="A28" s="285"/>
      <c r="B28" s="182" t="s">
        <v>200</v>
      </c>
      <c r="C28" s="36" t="s">
        <v>80</v>
      </c>
      <c r="D28" s="37" t="s">
        <v>72</v>
      </c>
      <c r="E28" s="37" t="s">
        <v>98</v>
      </c>
      <c r="F28" s="37" t="s">
        <v>232</v>
      </c>
      <c r="G28" s="37" t="s">
        <v>90</v>
      </c>
      <c r="H28" s="183">
        <f t="shared" ref="H28:J29" si="29">H29</f>
        <v>590.5</v>
      </c>
      <c r="I28" s="183">
        <f t="shared" si="29"/>
        <v>590.5</v>
      </c>
      <c r="J28" s="183">
        <f t="shared" si="29"/>
        <v>590.5</v>
      </c>
      <c r="K28" s="183">
        <v>590.5</v>
      </c>
      <c r="L28" s="183">
        <v>590.5</v>
      </c>
      <c r="M28" s="183">
        <v>590.5</v>
      </c>
      <c r="N28" s="183"/>
      <c r="O28" s="183">
        <v>590.5</v>
      </c>
      <c r="P28" s="183">
        <v>590.5</v>
      </c>
      <c r="Q28" s="183">
        <v>590.5</v>
      </c>
      <c r="R28" s="472">
        <f t="shared" si="1"/>
        <v>0</v>
      </c>
      <c r="S28" s="472">
        <f t="shared" si="2"/>
        <v>0</v>
      </c>
      <c r="T28" s="472">
        <f t="shared" si="3"/>
        <v>0</v>
      </c>
      <c r="U28" s="182" t="s">
        <v>200</v>
      </c>
      <c r="V28" s="36" t="s">
        <v>80</v>
      </c>
      <c r="W28" s="37" t="s">
        <v>72</v>
      </c>
      <c r="X28" s="37" t="s">
        <v>98</v>
      </c>
      <c r="Y28" s="37" t="s">
        <v>232</v>
      </c>
      <c r="Z28" s="37" t="s">
        <v>90</v>
      </c>
      <c r="AA28" s="12" t="b">
        <f t="shared" si="6"/>
        <v>1</v>
      </c>
      <c r="AB28" s="12" t="b">
        <f t="shared" si="7"/>
        <v>1</v>
      </c>
      <c r="AC28" s="12" t="b">
        <f t="shared" si="8"/>
        <v>1</v>
      </c>
      <c r="AD28" s="12" t="b">
        <f t="shared" si="9"/>
        <v>1</v>
      </c>
      <c r="AE28" s="12" t="b">
        <f t="shared" si="10"/>
        <v>1</v>
      </c>
      <c r="AF28" s="12" t="b">
        <f t="shared" si="11"/>
        <v>1</v>
      </c>
    </row>
    <row r="29" spans="1:32" s="12" customFormat="1" ht="15.75" customHeight="1">
      <c r="A29" s="285"/>
      <c r="B29" s="182" t="s">
        <v>156</v>
      </c>
      <c r="C29" s="36" t="s">
        <v>80</v>
      </c>
      <c r="D29" s="37" t="s">
        <v>72</v>
      </c>
      <c r="E29" s="37" t="s">
        <v>98</v>
      </c>
      <c r="F29" s="37" t="s">
        <v>775</v>
      </c>
      <c r="G29" s="37" t="s">
        <v>90</v>
      </c>
      <c r="H29" s="183">
        <f t="shared" si="29"/>
        <v>590.5</v>
      </c>
      <c r="I29" s="183">
        <f t="shared" si="29"/>
        <v>590.5</v>
      </c>
      <c r="J29" s="183">
        <f t="shared" si="29"/>
        <v>590.5</v>
      </c>
      <c r="K29" s="183">
        <v>590.5</v>
      </c>
      <c r="L29" s="183">
        <v>590.5</v>
      </c>
      <c r="M29" s="183">
        <v>590.5</v>
      </c>
      <c r="N29" s="183"/>
      <c r="O29" s="183">
        <v>590.5</v>
      </c>
      <c r="P29" s="183">
        <v>590.5</v>
      </c>
      <c r="Q29" s="183">
        <v>590.5</v>
      </c>
      <c r="R29" s="472">
        <f t="shared" si="1"/>
        <v>0</v>
      </c>
      <c r="S29" s="472">
        <f t="shared" si="2"/>
        <v>0</v>
      </c>
      <c r="T29" s="472">
        <f t="shared" si="3"/>
        <v>0</v>
      </c>
      <c r="U29" s="182" t="s">
        <v>156</v>
      </c>
      <c r="V29" s="36" t="s">
        <v>80</v>
      </c>
      <c r="W29" s="37" t="s">
        <v>72</v>
      </c>
      <c r="X29" s="37" t="s">
        <v>98</v>
      </c>
      <c r="Y29" s="37" t="s">
        <v>775</v>
      </c>
      <c r="Z29" s="37" t="s">
        <v>90</v>
      </c>
      <c r="AA29" s="12" t="b">
        <f t="shared" si="6"/>
        <v>1</v>
      </c>
      <c r="AB29" s="12" t="b">
        <f t="shared" si="7"/>
        <v>1</v>
      </c>
      <c r="AC29" s="12" t="b">
        <f t="shared" si="8"/>
        <v>1</v>
      </c>
      <c r="AD29" s="12" t="b">
        <f t="shared" si="9"/>
        <v>1</v>
      </c>
      <c r="AE29" s="12" t="b">
        <f t="shared" si="10"/>
        <v>1</v>
      </c>
      <c r="AF29" s="12" t="b">
        <f t="shared" si="11"/>
        <v>1</v>
      </c>
    </row>
    <row r="30" spans="1:32" s="12" customFormat="1" ht="15.75" customHeight="1">
      <c r="A30" s="285"/>
      <c r="B30" s="182" t="s">
        <v>145</v>
      </c>
      <c r="C30" s="36" t="s">
        <v>80</v>
      </c>
      <c r="D30" s="37" t="s">
        <v>72</v>
      </c>
      <c r="E30" s="37" t="s">
        <v>98</v>
      </c>
      <c r="F30" s="37" t="s">
        <v>775</v>
      </c>
      <c r="G30" s="37" t="s">
        <v>153</v>
      </c>
      <c r="H30" s="183">
        <v>590.5</v>
      </c>
      <c r="I30" s="183">
        <v>590.5</v>
      </c>
      <c r="J30" s="183">
        <v>590.5</v>
      </c>
      <c r="K30" s="183">
        <v>590.5</v>
      </c>
      <c r="L30" s="183">
        <v>590.5</v>
      </c>
      <c r="M30" s="183">
        <v>590.5</v>
      </c>
      <c r="N30" s="183"/>
      <c r="O30" s="183">
        <v>590.5</v>
      </c>
      <c r="P30" s="183">
        <v>590.5</v>
      </c>
      <c r="Q30" s="183">
        <v>590.5</v>
      </c>
      <c r="R30" s="472">
        <f t="shared" si="1"/>
        <v>0</v>
      </c>
      <c r="S30" s="472">
        <f t="shared" si="2"/>
        <v>0</v>
      </c>
      <c r="T30" s="472">
        <f t="shared" si="3"/>
        <v>0</v>
      </c>
      <c r="U30" s="182" t="s">
        <v>145</v>
      </c>
      <c r="V30" s="36" t="s">
        <v>80</v>
      </c>
      <c r="W30" s="37" t="s">
        <v>72</v>
      </c>
      <c r="X30" s="37" t="s">
        <v>98</v>
      </c>
      <c r="Y30" s="37" t="s">
        <v>775</v>
      </c>
      <c r="Z30" s="37" t="s">
        <v>153</v>
      </c>
      <c r="AA30" s="12" t="b">
        <f t="shared" si="6"/>
        <v>1</v>
      </c>
      <c r="AB30" s="12" t="b">
        <f t="shared" si="7"/>
        <v>1</v>
      </c>
      <c r="AC30" s="12" t="b">
        <f t="shared" si="8"/>
        <v>1</v>
      </c>
      <c r="AD30" s="12" t="b">
        <f t="shared" si="9"/>
        <v>1</v>
      </c>
      <c r="AE30" s="12" t="b">
        <f t="shared" si="10"/>
        <v>1</v>
      </c>
      <c r="AF30" s="12" t="b">
        <f t="shared" si="11"/>
        <v>1</v>
      </c>
    </row>
    <row r="31" spans="1:32" s="12" customFormat="1" ht="15.75" customHeight="1">
      <c r="A31" s="285"/>
      <c r="B31" s="32" t="s">
        <v>84</v>
      </c>
      <c r="C31" s="33" t="s">
        <v>80</v>
      </c>
      <c r="D31" s="34" t="s">
        <v>72</v>
      </c>
      <c r="E31" s="34" t="s">
        <v>99</v>
      </c>
      <c r="F31" s="34" t="s">
        <v>223</v>
      </c>
      <c r="G31" s="34" t="s">
        <v>90</v>
      </c>
      <c r="H31" s="35">
        <f t="shared" ref="H31:J34" si="30">H32</f>
        <v>500</v>
      </c>
      <c r="I31" s="35">
        <f t="shared" si="30"/>
        <v>500</v>
      </c>
      <c r="J31" s="35">
        <f t="shared" si="30"/>
        <v>500</v>
      </c>
      <c r="K31" s="35">
        <v>500</v>
      </c>
      <c r="L31" s="35">
        <v>500</v>
      </c>
      <c r="M31" s="35">
        <v>500</v>
      </c>
      <c r="N31" s="35"/>
      <c r="O31" s="35">
        <v>500</v>
      </c>
      <c r="P31" s="35">
        <v>500</v>
      </c>
      <c r="Q31" s="35">
        <v>500</v>
      </c>
      <c r="R31" s="472">
        <f t="shared" si="1"/>
        <v>0</v>
      </c>
      <c r="S31" s="472">
        <f t="shared" si="2"/>
        <v>0</v>
      </c>
      <c r="T31" s="472">
        <f t="shared" si="3"/>
        <v>0</v>
      </c>
      <c r="U31" s="32" t="s">
        <v>84</v>
      </c>
      <c r="V31" s="33" t="s">
        <v>80</v>
      </c>
      <c r="W31" s="34" t="s">
        <v>72</v>
      </c>
      <c r="X31" s="34" t="s">
        <v>99</v>
      </c>
      <c r="Y31" s="34" t="s">
        <v>223</v>
      </c>
      <c r="Z31" s="34" t="s">
        <v>90</v>
      </c>
      <c r="AA31" s="12" t="b">
        <f t="shared" si="6"/>
        <v>1</v>
      </c>
      <c r="AB31" s="12" t="b">
        <f t="shared" si="7"/>
        <v>1</v>
      </c>
      <c r="AC31" s="12" t="b">
        <f t="shared" si="8"/>
        <v>1</v>
      </c>
      <c r="AD31" s="12" t="b">
        <f t="shared" si="9"/>
        <v>1</v>
      </c>
      <c r="AE31" s="12" t="b">
        <f t="shared" si="10"/>
        <v>1</v>
      </c>
      <c r="AF31" s="12" t="b">
        <f t="shared" si="11"/>
        <v>1</v>
      </c>
    </row>
    <row r="32" spans="1:32" s="12" customFormat="1" ht="15.75" customHeight="1">
      <c r="A32" s="285"/>
      <c r="B32" s="182" t="s">
        <v>159</v>
      </c>
      <c r="C32" s="36" t="s">
        <v>80</v>
      </c>
      <c r="D32" s="37" t="s">
        <v>72</v>
      </c>
      <c r="E32" s="37" t="s">
        <v>99</v>
      </c>
      <c r="F32" s="37" t="s">
        <v>224</v>
      </c>
      <c r="G32" s="37" t="s">
        <v>90</v>
      </c>
      <c r="H32" s="183">
        <f t="shared" si="30"/>
        <v>500</v>
      </c>
      <c r="I32" s="183">
        <f t="shared" si="30"/>
        <v>500</v>
      </c>
      <c r="J32" s="183">
        <f t="shared" si="30"/>
        <v>500</v>
      </c>
      <c r="K32" s="183">
        <v>500</v>
      </c>
      <c r="L32" s="183">
        <v>500</v>
      </c>
      <c r="M32" s="183">
        <v>500</v>
      </c>
      <c r="N32" s="183"/>
      <c r="O32" s="183">
        <v>500</v>
      </c>
      <c r="P32" s="183">
        <v>500</v>
      </c>
      <c r="Q32" s="183">
        <v>500</v>
      </c>
      <c r="R32" s="472">
        <f t="shared" si="1"/>
        <v>0</v>
      </c>
      <c r="S32" s="472">
        <f t="shared" si="2"/>
        <v>0</v>
      </c>
      <c r="T32" s="472">
        <f t="shared" si="3"/>
        <v>0</v>
      </c>
      <c r="U32" s="182" t="s">
        <v>159</v>
      </c>
      <c r="V32" s="36" t="s">
        <v>80</v>
      </c>
      <c r="W32" s="37" t="s">
        <v>72</v>
      </c>
      <c r="X32" s="37" t="s">
        <v>99</v>
      </c>
      <c r="Y32" s="37" t="s">
        <v>224</v>
      </c>
      <c r="Z32" s="37" t="s">
        <v>90</v>
      </c>
      <c r="AA32" s="12" t="b">
        <f t="shared" si="6"/>
        <v>1</v>
      </c>
      <c r="AB32" s="12" t="b">
        <f t="shared" si="7"/>
        <v>1</v>
      </c>
      <c r="AC32" s="12" t="b">
        <f t="shared" si="8"/>
        <v>1</v>
      </c>
      <c r="AD32" s="12" t="b">
        <f t="shared" si="9"/>
        <v>1</v>
      </c>
      <c r="AE32" s="12" t="b">
        <f t="shared" si="10"/>
        <v>1</v>
      </c>
      <c r="AF32" s="12" t="b">
        <f t="shared" si="11"/>
        <v>1</v>
      </c>
    </row>
    <row r="33" spans="1:32" s="12" customFormat="1" ht="15.75" customHeight="1">
      <c r="A33" s="285"/>
      <c r="B33" s="182" t="s">
        <v>200</v>
      </c>
      <c r="C33" s="36" t="s">
        <v>80</v>
      </c>
      <c r="D33" s="37" t="s">
        <v>72</v>
      </c>
      <c r="E33" s="37" t="s">
        <v>99</v>
      </c>
      <c r="F33" s="37" t="s">
        <v>232</v>
      </c>
      <c r="G33" s="37" t="s">
        <v>90</v>
      </c>
      <c r="H33" s="183">
        <f t="shared" si="30"/>
        <v>500</v>
      </c>
      <c r="I33" s="183">
        <f t="shared" si="30"/>
        <v>500</v>
      </c>
      <c r="J33" s="183">
        <f t="shared" si="30"/>
        <v>500</v>
      </c>
      <c r="K33" s="183">
        <v>500</v>
      </c>
      <c r="L33" s="183">
        <v>500</v>
      </c>
      <c r="M33" s="183">
        <v>500</v>
      </c>
      <c r="N33" s="183"/>
      <c r="O33" s="183">
        <v>500</v>
      </c>
      <c r="P33" s="183">
        <v>500</v>
      </c>
      <c r="Q33" s="183">
        <v>500</v>
      </c>
      <c r="R33" s="472">
        <f t="shared" si="1"/>
        <v>0</v>
      </c>
      <c r="S33" s="472">
        <f t="shared" si="2"/>
        <v>0</v>
      </c>
      <c r="T33" s="472">
        <f t="shared" si="3"/>
        <v>0</v>
      </c>
      <c r="U33" s="182" t="s">
        <v>200</v>
      </c>
      <c r="V33" s="36" t="s">
        <v>80</v>
      </c>
      <c r="W33" s="37" t="s">
        <v>72</v>
      </c>
      <c r="X33" s="37" t="s">
        <v>99</v>
      </c>
      <c r="Y33" s="37" t="s">
        <v>232</v>
      </c>
      <c r="Z33" s="37" t="s">
        <v>90</v>
      </c>
      <c r="AA33" s="12" t="b">
        <f t="shared" si="6"/>
        <v>1</v>
      </c>
      <c r="AB33" s="12" t="b">
        <f t="shared" si="7"/>
        <v>1</v>
      </c>
      <c r="AC33" s="12" t="b">
        <f t="shared" si="8"/>
        <v>1</v>
      </c>
      <c r="AD33" s="12" t="b">
        <f t="shared" si="9"/>
        <v>1</v>
      </c>
      <c r="AE33" s="12" t="b">
        <f t="shared" si="10"/>
        <v>1</v>
      </c>
      <c r="AF33" s="12" t="b">
        <f t="shared" si="11"/>
        <v>1</v>
      </c>
    </row>
    <row r="34" spans="1:32" s="12" customFormat="1" ht="15.75" customHeight="1">
      <c r="A34" s="285"/>
      <c r="B34" s="182" t="s">
        <v>156</v>
      </c>
      <c r="C34" s="36" t="s">
        <v>80</v>
      </c>
      <c r="D34" s="37" t="s">
        <v>72</v>
      </c>
      <c r="E34" s="37" t="s">
        <v>99</v>
      </c>
      <c r="F34" s="37" t="s">
        <v>775</v>
      </c>
      <c r="G34" s="37" t="s">
        <v>90</v>
      </c>
      <c r="H34" s="183">
        <f>H35</f>
        <v>500</v>
      </c>
      <c r="I34" s="183">
        <f t="shared" si="30"/>
        <v>500</v>
      </c>
      <c r="J34" s="183">
        <f t="shared" si="30"/>
        <v>500</v>
      </c>
      <c r="K34" s="183">
        <v>500</v>
      </c>
      <c r="L34" s="183">
        <v>500</v>
      </c>
      <c r="M34" s="183">
        <v>500</v>
      </c>
      <c r="N34" s="183"/>
      <c r="O34" s="183">
        <v>500</v>
      </c>
      <c r="P34" s="183">
        <v>500</v>
      </c>
      <c r="Q34" s="183">
        <v>500</v>
      </c>
      <c r="R34" s="472">
        <f t="shared" si="1"/>
        <v>0</v>
      </c>
      <c r="S34" s="472">
        <f t="shared" si="2"/>
        <v>0</v>
      </c>
      <c r="T34" s="472">
        <f t="shared" si="3"/>
        <v>0</v>
      </c>
      <c r="U34" s="182" t="s">
        <v>156</v>
      </c>
      <c r="V34" s="36" t="s">
        <v>80</v>
      </c>
      <c r="W34" s="37" t="s">
        <v>72</v>
      </c>
      <c r="X34" s="37" t="s">
        <v>99</v>
      </c>
      <c r="Y34" s="37" t="s">
        <v>775</v>
      </c>
      <c r="Z34" s="37" t="s">
        <v>90</v>
      </c>
      <c r="AA34" s="12" t="b">
        <f t="shared" si="6"/>
        <v>1</v>
      </c>
      <c r="AB34" s="12" t="b">
        <f t="shared" si="7"/>
        <v>1</v>
      </c>
      <c r="AC34" s="12" t="b">
        <f t="shared" si="8"/>
        <v>1</v>
      </c>
      <c r="AD34" s="12" t="b">
        <f t="shared" si="9"/>
        <v>1</v>
      </c>
      <c r="AE34" s="12" t="b">
        <f t="shared" si="10"/>
        <v>1</v>
      </c>
      <c r="AF34" s="12" t="b">
        <f t="shared" si="11"/>
        <v>1</v>
      </c>
    </row>
    <row r="35" spans="1:32" s="12" customFormat="1" ht="15.75" customHeight="1">
      <c r="A35" s="285"/>
      <c r="B35" s="182" t="s">
        <v>145</v>
      </c>
      <c r="C35" s="36" t="s">
        <v>80</v>
      </c>
      <c r="D35" s="37" t="s">
        <v>72</v>
      </c>
      <c r="E35" s="37" t="s">
        <v>99</v>
      </c>
      <c r="F35" s="37" t="s">
        <v>775</v>
      </c>
      <c r="G35" s="37" t="s">
        <v>153</v>
      </c>
      <c r="H35" s="183">
        <v>500</v>
      </c>
      <c r="I35" s="183">
        <v>500</v>
      </c>
      <c r="J35" s="183">
        <v>500</v>
      </c>
      <c r="K35" s="183">
        <v>500</v>
      </c>
      <c r="L35" s="183">
        <v>500</v>
      </c>
      <c r="M35" s="183">
        <v>500</v>
      </c>
      <c r="N35" s="183"/>
      <c r="O35" s="183">
        <v>500</v>
      </c>
      <c r="P35" s="183">
        <v>500</v>
      </c>
      <c r="Q35" s="183">
        <v>500</v>
      </c>
      <c r="R35" s="472">
        <f t="shared" si="1"/>
        <v>0</v>
      </c>
      <c r="S35" s="472">
        <f t="shared" si="2"/>
        <v>0</v>
      </c>
      <c r="T35" s="472">
        <f t="shared" si="3"/>
        <v>0</v>
      </c>
      <c r="U35" s="182" t="s">
        <v>145</v>
      </c>
      <c r="V35" s="36" t="s">
        <v>80</v>
      </c>
      <c r="W35" s="37" t="s">
        <v>72</v>
      </c>
      <c r="X35" s="37" t="s">
        <v>99</v>
      </c>
      <c r="Y35" s="37" t="s">
        <v>775</v>
      </c>
      <c r="Z35" s="37" t="s">
        <v>153</v>
      </c>
      <c r="AA35" s="12" t="b">
        <f t="shared" si="6"/>
        <v>1</v>
      </c>
      <c r="AB35" s="12" t="b">
        <f t="shared" si="7"/>
        <v>1</v>
      </c>
      <c r="AC35" s="12" t="b">
        <f t="shared" si="8"/>
        <v>1</v>
      </c>
      <c r="AD35" s="12" t="b">
        <f t="shared" si="9"/>
        <v>1</v>
      </c>
      <c r="AE35" s="12" t="b">
        <f t="shared" si="10"/>
        <v>1</v>
      </c>
      <c r="AF35" s="12" t="b">
        <f t="shared" si="11"/>
        <v>1</v>
      </c>
    </row>
    <row r="36" spans="1:32" s="12" customFormat="1" ht="15.75" customHeight="1">
      <c r="A36" s="285"/>
      <c r="B36" s="182"/>
      <c r="C36" s="36"/>
      <c r="D36" s="37"/>
      <c r="E36" s="37"/>
      <c r="F36" s="37"/>
      <c r="G36" s="37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472">
        <f t="shared" si="1"/>
        <v>0</v>
      </c>
      <c r="S36" s="472">
        <f t="shared" si="2"/>
        <v>0</v>
      </c>
      <c r="T36" s="472">
        <f t="shared" si="3"/>
        <v>0</v>
      </c>
      <c r="U36" s="182"/>
      <c r="V36" s="36"/>
      <c r="W36" s="37"/>
      <c r="X36" s="37"/>
      <c r="Y36" s="37"/>
      <c r="Z36" s="37"/>
      <c r="AA36" s="12" t="b">
        <f t="shared" si="6"/>
        <v>1</v>
      </c>
      <c r="AB36" s="12" t="b">
        <f t="shared" si="7"/>
        <v>1</v>
      </c>
      <c r="AC36" s="12" t="b">
        <f t="shared" si="8"/>
        <v>1</v>
      </c>
      <c r="AD36" s="12" t="b">
        <f t="shared" si="9"/>
        <v>1</v>
      </c>
      <c r="AE36" s="12" t="b">
        <f t="shared" si="10"/>
        <v>1</v>
      </c>
      <c r="AF36" s="12" t="b">
        <f t="shared" si="11"/>
        <v>1</v>
      </c>
    </row>
    <row r="37" spans="1:32" s="12" customFormat="1" ht="15.75" customHeight="1">
      <c r="A37" s="285"/>
      <c r="B37" s="42" t="s">
        <v>86</v>
      </c>
      <c r="C37" s="25" t="s">
        <v>87</v>
      </c>
      <c r="D37" s="26" t="s">
        <v>83</v>
      </c>
      <c r="E37" s="26" t="s">
        <v>83</v>
      </c>
      <c r="F37" s="26" t="s">
        <v>223</v>
      </c>
      <c r="G37" s="26" t="s">
        <v>90</v>
      </c>
      <c r="H37" s="43">
        <f>H38+H125+H133+H140+H147</f>
        <v>258465.77000000002</v>
      </c>
      <c r="I37" s="43">
        <f>I38+I125+I133+I140+I147</f>
        <v>244974.83000000002</v>
      </c>
      <c r="J37" s="43">
        <f>J38+J125+J133+J140+J147</f>
        <v>245268.12000000002</v>
      </c>
      <c r="K37" s="43">
        <v>258465.77000000002</v>
      </c>
      <c r="L37" s="43">
        <v>244974.83000000002</v>
      </c>
      <c r="M37" s="43">
        <v>245268.12000000002</v>
      </c>
      <c r="N37" s="43"/>
      <c r="O37" s="43">
        <v>257534.97</v>
      </c>
      <c r="P37" s="43">
        <v>244044.03</v>
      </c>
      <c r="Q37" s="43">
        <v>244337.31999999998</v>
      </c>
      <c r="R37" s="472">
        <f t="shared" si="1"/>
        <v>930.80000000001746</v>
      </c>
      <c r="S37" s="472">
        <f t="shared" si="2"/>
        <v>930.80000000001746</v>
      </c>
      <c r="T37" s="472">
        <f t="shared" si="3"/>
        <v>930.80000000004657</v>
      </c>
      <c r="U37" s="42" t="s">
        <v>86</v>
      </c>
      <c r="V37" s="25" t="s">
        <v>87</v>
      </c>
      <c r="W37" s="26" t="s">
        <v>83</v>
      </c>
      <c r="X37" s="26" t="s">
        <v>83</v>
      </c>
      <c r="Y37" s="26" t="s">
        <v>223</v>
      </c>
      <c r="Z37" s="26" t="s">
        <v>90</v>
      </c>
      <c r="AA37" s="12" t="b">
        <f t="shared" si="6"/>
        <v>1</v>
      </c>
      <c r="AB37" s="12" t="b">
        <f t="shared" si="7"/>
        <v>1</v>
      </c>
      <c r="AC37" s="12" t="b">
        <f t="shared" si="8"/>
        <v>1</v>
      </c>
      <c r="AD37" s="12" t="b">
        <f t="shared" si="9"/>
        <v>1</v>
      </c>
      <c r="AE37" s="12" t="b">
        <f t="shared" si="10"/>
        <v>1</v>
      </c>
      <c r="AF37" s="12" t="b">
        <f t="shared" si="11"/>
        <v>1</v>
      </c>
    </row>
    <row r="38" spans="1:32" s="12" customFormat="1" ht="15.75" customHeight="1">
      <c r="A38" s="285"/>
      <c r="B38" s="28" t="s">
        <v>97</v>
      </c>
      <c r="C38" s="29" t="s">
        <v>87</v>
      </c>
      <c r="D38" s="30" t="s">
        <v>98</v>
      </c>
      <c r="E38" s="30" t="s">
        <v>83</v>
      </c>
      <c r="F38" s="30" t="s">
        <v>223</v>
      </c>
      <c r="G38" s="30" t="s">
        <v>90</v>
      </c>
      <c r="H38" s="31">
        <f>H46+H60+H65+H39</f>
        <v>235137.27000000002</v>
      </c>
      <c r="I38" s="31">
        <f t="shared" ref="I38:J38" si="31">I46+I60+I65+I39</f>
        <v>221646.33000000002</v>
      </c>
      <c r="J38" s="31">
        <f t="shared" si="31"/>
        <v>221939.62000000002</v>
      </c>
      <c r="K38" s="31">
        <v>235137.27000000002</v>
      </c>
      <c r="L38" s="31">
        <v>221646.33000000002</v>
      </c>
      <c r="M38" s="31">
        <v>221939.62000000002</v>
      </c>
      <c r="N38" s="31"/>
      <c r="O38" s="31">
        <v>234206.47</v>
      </c>
      <c r="P38" s="31">
        <v>220715.53</v>
      </c>
      <c r="Q38" s="31">
        <v>221008.81999999998</v>
      </c>
      <c r="R38" s="472">
        <f t="shared" si="1"/>
        <v>930.80000000001746</v>
      </c>
      <c r="S38" s="472">
        <f t="shared" si="2"/>
        <v>930.80000000001746</v>
      </c>
      <c r="T38" s="472">
        <f t="shared" si="3"/>
        <v>930.80000000004657</v>
      </c>
      <c r="U38" s="28" t="s">
        <v>97</v>
      </c>
      <c r="V38" s="29" t="s">
        <v>87</v>
      </c>
      <c r="W38" s="30" t="s">
        <v>98</v>
      </c>
      <c r="X38" s="30" t="s">
        <v>83</v>
      </c>
      <c r="Y38" s="30" t="s">
        <v>223</v>
      </c>
      <c r="Z38" s="30" t="s">
        <v>90</v>
      </c>
      <c r="AA38" s="12" t="b">
        <f t="shared" si="6"/>
        <v>1</v>
      </c>
      <c r="AB38" s="12" t="b">
        <f t="shared" si="7"/>
        <v>1</v>
      </c>
      <c r="AC38" s="12" t="b">
        <f t="shared" si="8"/>
        <v>1</v>
      </c>
      <c r="AD38" s="12" t="b">
        <f t="shared" si="9"/>
        <v>1</v>
      </c>
      <c r="AE38" s="12" t="b">
        <f t="shared" si="10"/>
        <v>1</v>
      </c>
      <c r="AF38" s="12" t="b">
        <f t="shared" si="11"/>
        <v>1</v>
      </c>
    </row>
    <row r="39" spans="1:32" s="12" customFormat="1" ht="15.75" customHeight="1">
      <c r="A39" s="285"/>
      <c r="B39" s="32" t="s">
        <v>43</v>
      </c>
      <c r="C39" s="33" t="s">
        <v>87</v>
      </c>
      <c r="D39" s="34" t="s">
        <v>98</v>
      </c>
      <c r="E39" s="34" t="s">
        <v>99</v>
      </c>
      <c r="F39" s="34" t="s">
        <v>223</v>
      </c>
      <c r="G39" s="34" t="s">
        <v>90</v>
      </c>
      <c r="H39" s="35">
        <f t="shared" ref="H39:J40" si="32">H40</f>
        <v>2264.09</v>
      </c>
      <c r="I39" s="35">
        <f t="shared" si="32"/>
        <v>2264.09</v>
      </c>
      <c r="J39" s="35">
        <f t="shared" si="32"/>
        <v>2264.09</v>
      </c>
      <c r="K39" s="35">
        <v>2264.09</v>
      </c>
      <c r="L39" s="35">
        <v>2264.09</v>
      </c>
      <c r="M39" s="35">
        <v>2264.09</v>
      </c>
      <c r="N39" s="35"/>
      <c r="O39" s="35">
        <v>2264.09</v>
      </c>
      <c r="P39" s="35">
        <v>2264.09</v>
      </c>
      <c r="Q39" s="35">
        <v>2264.09</v>
      </c>
      <c r="R39" s="472">
        <f t="shared" si="1"/>
        <v>0</v>
      </c>
      <c r="S39" s="472">
        <f t="shared" si="2"/>
        <v>0</v>
      </c>
      <c r="T39" s="472">
        <f t="shared" si="3"/>
        <v>0</v>
      </c>
      <c r="U39" s="32" t="s">
        <v>43</v>
      </c>
      <c r="V39" s="33" t="s">
        <v>87</v>
      </c>
      <c r="W39" s="34" t="s">
        <v>98</v>
      </c>
      <c r="X39" s="34" t="s">
        <v>99</v>
      </c>
      <c r="Y39" s="34" t="s">
        <v>223</v>
      </c>
      <c r="Z39" s="34" t="s">
        <v>90</v>
      </c>
      <c r="AA39" s="12" t="b">
        <f t="shared" si="6"/>
        <v>1</v>
      </c>
      <c r="AB39" s="12" t="b">
        <f t="shared" si="7"/>
        <v>1</v>
      </c>
      <c r="AC39" s="12" t="b">
        <f t="shared" si="8"/>
        <v>1</v>
      </c>
      <c r="AD39" s="12" t="b">
        <f t="shared" si="9"/>
        <v>1</v>
      </c>
      <c r="AE39" s="12" t="b">
        <f t="shared" si="10"/>
        <v>1</v>
      </c>
      <c r="AF39" s="12" t="b">
        <f t="shared" si="11"/>
        <v>1</v>
      </c>
    </row>
    <row r="40" spans="1:32" s="12" customFormat="1" ht="15.75" customHeight="1">
      <c r="A40" s="285"/>
      <c r="B40" s="54" t="s">
        <v>149</v>
      </c>
      <c r="C40" s="36" t="s">
        <v>87</v>
      </c>
      <c r="D40" s="37" t="s">
        <v>98</v>
      </c>
      <c r="E40" s="37" t="s">
        <v>99</v>
      </c>
      <c r="F40" s="37" t="s">
        <v>233</v>
      </c>
      <c r="G40" s="37" t="s">
        <v>90</v>
      </c>
      <c r="H40" s="183">
        <f t="shared" si="32"/>
        <v>2264.09</v>
      </c>
      <c r="I40" s="183">
        <f t="shared" si="32"/>
        <v>2264.09</v>
      </c>
      <c r="J40" s="183">
        <f t="shared" si="32"/>
        <v>2264.09</v>
      </c>
      <c r="K40" s="183">
        <v>2264.09</v>
      </c>
      <c r="L40" s="183">
        <v>2264.09</v>
      </c>
      <c r="M40" s="183">
        <v>2264.09</v>
      </c>
      <c r="N40" s="183"/>
      <c r="O40" s="183">
        <v>2264.09</v>
      </c>
      <c r="P40" s="183">
        <v>2264.09</v>
      </c>
      <c r="Q40" s="183">
        <v>2264.09</v>
      </c>
      <c r="R40" s="472">
        <f t="shared" si="1"/>
        <v>0</v>
      </c>
      <c r="S40" s="472">
        <f t="shared" si="2"/>
        <v>0</v>
      </c>
      <c r="T40" s="472">
        <f t="shared" si="3"/>
        <v>0</v>
      </c>
      <c r="U40" s="54" t="s">
        <v>149</v>
      </c>
      <c r="V40" s="36" t="s">
        <v>87</v>
      </c>
      <c r="W40" s="37" t="s">
        <v>98</v>
      </c>
      <c r="X40" s="37" t="s">
        <v>99</v>
      </c>
      <c r="Y40" s="37" t="s">
        <v>233</v>
      </c>
      <c r="Z40" s="37" t="s">
        <v>90</v>
      </c>
      <c r="AA40" s="12" t="b">
        <f t="shared" si="6"/>
        <v>1</v>
      </c>
      <c r="AB40" s="12" t="b">
        <f t="shared" si="7"/>
        <v>1</v>
      </c>
      <c r="AC40" s="12" t="b">
        <f t="shared" si="8"/>
        <v>1</v>
      </c>
      <c r="AD40" s="12" t="b">
        <f t="shared" si="9"/>
        <v>1</v>
      </c>
      <c r="AE40" s="12" t="b">
        <f t="shared" si="10"/>
        <v>1</v>
      </c>
      <c r="AF40" s="12" t="b">
        <f t="shared" si="11"/>
        <v>1</v>
      </c>
    </row>
    <row r="41" spans="1:32" s="12" customFormat="1" ht="15.75" customHeight="1">
      <c r="A41" s="285"/>
      <c r="B41" s="182" t="s">
        <v>44</v>
      </c>
      <c r="C41" s="36" t="s">
        <v>87</v>
      </c>
      <c r="D41" s="37" t="s">
        <v>98</v>
      </c>
      <c r="E41" s="37" t="s">
        <v>99</v>
      </c>
      <c r="F41" s="37" t="s">
        <v>239</v>
      </c>
      <c r="G41" s="37" t="s">
        <v>90</v>
      </c>
      <c r="H41" s="183">
        <f>H42+H44</f>
        <v>2264.09</v>
      </c>
      <c r="I41" s="183">
        <f>I42+I44</f>
        <v>2264.09</v>
      </c>
      <c r="J41" s="183">
        <f>J42+J44</f>
        <v>2264.09</v>
      </c>
      <c r="K41" s="183">
        <v>2264.09</v>
      </c>
      <c r="L41" s="183">
        <v>2264.09</v>
      </c>
      <c r="M41" s="183">
        <v>2264.09</v>
      </c>
      <c r="N41" s="183"/>
      <c r="O41" s="183">
        <v>2264.09</v>
      </c>
      <c r="P41" s="183">
        <v>2264.09</v>
      </c>
      <c r="Q41" s="183">
        <v>2264.09</v>
      </c>
      <c r="R41" s="472">
        <f t="shared" si="1"/>
        <v>0</v>
      </c>
      <c r="S41" s="472">
        <f t="shared" si="2"/>
        <v>0</v>
      </c>
      <c r="T41" s="472">
        <f t="shared" si="3"/>
        <v>0</v>
      </c>
      <c r="U41" s="182" t="s">
        <v>44</v>
      </c>
      <c r="V41" s="36" t="s">
        <v>87</v>
      </c>
      <c r="W41" s="37" t="s">
        <v>98</v>
      </c>
      <c r="X41" s="37" t="s">
        <v>99</v>
      </c>
      <c r="Y41" s="37" t="s">
        <v>239</v>
      </c>
      <c r="Z41" s="37" t="s">
        <v>90</v>
      </c>
      <c r="AA41" s="12" t="b">
        <f t="shared" si="6"/>
        <v>1</v>
      </c>
      <c r="AB41" s="12" t="b">
        <f t="shared" si="7"/>
        <v>1</v>
      </c>
      <c r="AC41" s="12" t="b">
        <f t="shared" si="8"/>
        <v>1</v>
      </c>
      <c r="AD41" s="12" t="b">
        <f t="shared" si="9"/>
        <v>1</v>
      </c>
      <c r="AE41" s="12" t="b">
        <f t="shared" si="10"/>
        <v>1</v>
      </c>
      <c r="AF41" s="12" t="b">
        <f t="shared" si="11"/>
        <v>1</v>
      </c>
    </row>
    <row r="42" spans="1:32" s="12" customFormat="1" ht="15.75" customHeight="1">
      <c r="A42" s="285"/>
      <c r="B42" s="182" t="s">
        <v>151</v>
      </c>
      <c r="C42" s="36" t="s">
        <v>87</v>
      </c>
      <c r="D42" s="37" t="s">
        <v>98</v>
      </c>
      <c r="E42" s="37" t="s">
        <v>99</v>
      </c>
      <c r="F42" s="37" t="s">
        <v>516</v>
      </c>
      <c r="G42" s="37" t="s">
        <v>90</v>
      </c>
      <c r="H42" s="183">
        <f>H43</f>
        <v>41.55</v>
      </c>
      <c r="I42" s="183">
        <f>I43</f>
        <v>41.55</v>
      </c>
      <c r="J42" s="183">
        <f>J43</f>
        <v>41.55</v>
      </c>
      <c r="K42" s="183">
        <v>41.55</v>
      </c>
      <c r="L42" s="183">
        <v>41.55</v>
      </c>
      <c r="M42" s="183">
        <v>41.55</v>
      </c>
      <c r="N42" s="183"/>
      <c r="O42" s="183">
        <v>41.55</v>
      </c>
      <c r="P42" s="183">
        <v>41.55</v>
      </c>
      <c r="Q42" s="183">
        <v>41.55</v>
      </c>
      <c r="R42" s="472">
        <f t="shared" si="1"/>
        <v>0</v>
      </c>
      <c r="S42" s="472">
        <f t="shared" si="2"/>
        <v>0</v>
      </c>
      <c r="T42" s="472">
        <f t="shared" si="3"/>
        <v>0</v>
      </c>
      <c r="U42" s="182" t="s">
        <v>151</v>
      </c>
      <c r="V42" s="36" t="s">
        <v>87</v>
      </c>
      <c r="W42" s="37" t="s">
        <v>98</v>
      </c>
      <c r="X42" s="37" t="s">
        <v>99</v>
      </c>
      <c r="Y42" s="37" t="s">
        <v>516</v>
      </c>
      <c r="Z42" s="37" t="s">
        <v>90</v>
      </c>
      <c r="AA42" s="12" t="b">
        <f t="shared" si="6"/>
        <v>1</v>
      </c>
      <c r="AB42" s="12" t="b">
        <f t="shared" si="7"/>
        <v>1</v>
      </c>
      <c r="AC42" s="12" t="b">
        <f t="shared" si="8"/>
        <v>1</v>
      </c>
      <c r="AD42" s="12" t="b">
        <f t="shared" si="9"/>
        <v>1</v>
      </c>
      <c r="AE42" s="12" t="b">
        <f t="shared" si="10"/>
        <v>1</v>
      </c>
      <c r="AF42" s="12" t="b">
        <f t="shared" si="11"/>
        <v>1</v>
      </c>
    </row>
    <row r="43" spans="1:32" s="12" customFormat="1" ht="15.75" customHeight="1">
      <c r="A43" s="285"/>
      <c r="B43" s="182" t="s">
        <v>144</v>
      </c>
      <c r="C43" s="36" t="s">
        <v>87</v>
      </c>
      <c r="D43" s="37" t="s">
        <v>98</v>
      </c>
      <c r="E43" s="37" t="s">
        <v>99</v>
      </c>
      <c r="F43" s="37" t="s">
        <v>516</v>
      </c>
      <c r="G43" s="37" t="s">
        <v>152</v>
      </c>
      <c r="H43" s="183">
        <v>41.55</v>
      </c>
      <c r="I43" s="183">
        <v>41.55</v>
      </c>
      <c r="J43" s="183">
        <v>41.55</v>
      </c>
      <c r="K43" s="183">
        <v>41.55</v>
      </c>
      <c r="L43" s="183">
        <v>41.55</v>
      </c>
      <c r="M43" s="183">
        <v>41.55</v>
      </c>
      <c r="N43" s="183"/>
      <c r="O43" s="183">
        <v>41.55</v>
      </c>
      <c r="P43" s="183">
        <v>41.55</v>
      </c>
      <c r="Q43" s="183">
        <v>41.55</v>
      </c>
      <c r="R43" s="472">
        <f t="shared" si="1"/>
        <v>0</v>
      </c>
      <c r="S43" s="472">
        <f t="shared" si="2"/>
        <v>0</v>
      </c>
      <c r="T43" s="472">
        <f t="shared" si="3"/>
        <v>0</v>
      </c>
      <c r="U43" s="182" t="s">
        <v>144</v>
      </c>
      <c r="V43" s="36" t="s">
        <v>87</v>
      </c>
      <c r="W43" s="37" t="s">
        <v>98</v>
      </c>
      <c r="X43" s="37" t="s">
        <v>99</v>
      </c>
      <c r="Y43" s="37" t="s">
        <v>516</v>
      </c>
      <c r="Z43" s="37" t="s">
        <v>152</v>
      </c>
      <c r="AA43" s="12" t="b">
        <f t="shared" si="6"/>
        <v>1</v>
      </c>
      <c r="AB43" s="12" t="b">
        <f t="shared" si="7"/>
        <v>1</v>
      </c>
      <c r="AC43" s="12" t="b">
        <f t="shared" si="8"/>
        <v>1</v>
      </c>
      <c r="AD43" s="12" t="b">
        <f t="shared" si="9"/>
        <v>1</v>
      </c>
      <c r="AE43" s="12" t="b">
        <f t="shared" si="10"/>
        <v>1</v>
      </c>
      <c r="AF43" s="12" t="b">
        <f t="shared" si="11"/>
        <v>1</v>
      </c>
    </row>
    <row r="44" spans="1:32" s="12" customFormat="1" ht="15.75" customHeight="1">
      <c r="A44" s="285"/>
      <c r="B44" s="182" t="s">
        <v>161</v>
      </c>
      <c r="C44" s="36" t="s">
        <v>87</v>
      </c>
      <c r="D44" s="37" t="s">
        <v>98</v>
      </c>
      <c r="E44" s="37" t="s">
        <v>99</v>
      </c>
      <c r="F44" s="37" t="s">
        <v>240</v>
      </c>
      <c r="G44" s="37" t="s">
        <v>90</v>
      </c>
      <c r="H44" s="183">
        <f>H45</f>
        <v>2222.54</v>
      </c>
      <c r="I44" s="183">
        <f>I45</f>
        <v>2222.54</v>
      </c>
      <c r="J44" s="183">
        <f>J45</f>
        <v>2222.54</v>
      </c>
      <c r="K44" s="183">
        <v>2222.54</v>
      </c>
      <c r="L44" s="183">
        <v>2222.54</v>
      </c>
      <c r="M44" s="183">
        <v>2222.54</v>
      </c>
      <c r="N44" s="183"/>
      <c r="O44" s="183">
        <v>2222.54</v>
      </c>
      <c r="P44" s="183">
        <v>2222.54</v>
      </c>
      <c r="Q44" s="183">
        <v>2222.54</v>
      </c>
      <c r="R44" s="472">
        <f t="shared" si="1"/>
        <v>0</v>
      </c>
      <c r="S44" s="472">
        <f t="shared" si="2"/>
        <v>0</v>
      </c>
      <c r="T44" s="472">
        <f t="shared" si="3"/>
        <v>0</v>
      </c>
      <c r="U44" s="182" t="s">
        <v>161</v>
      </c>
      <c r="V44" s="36" t="s">
        <v>87</v>
      </c>
      <c r="W44" s="37" t="s">
        <v>98</v>
      </c>
      <c r="X44" s="37" t="s">
        <v>99</v>
      </c>
      <c r="Y44" s="37" t="s">
        <v>240</v>
      </c>
      <c r="Z44" s="37" t="s">
        <v>90</v>
      </c>
      <c r="AA44" s="12" t="b">
        <f t="shared" si="6"/>
        <v>1</v>
      </c>
      <c r="AB44" s="12" t="b">
        <f t="shared" si="7"/>
        <v>1</v>
      </c>
      <c r="AC44" s="12" t="b">
        <f t="shared" si="8"/>
        <v>1</v>
      </c>
      <c r="AD44" s="12" t="b">
        <f t="shared" si="9"/>
        <v>1</v>
      </c>
      <c r="AE44" s="12" t="b">
        <f t="shared" si="10"/>
        <v>1</v>
      </c>
      <c r="AF44" s="12" t="b">
        <f t="shared" si="11"/>
        <v>1</v>
      </c>
    </row>
    <row r="45" spans="1:32" s="12" customFormat="1" ht="15.75" customHeight="1">
      <c r="A45" s="285"/>
      <c r="B45" s="54" t="s">
        <v>144</v>
      </c>
      <c r="C45" s="56" t="s">
        <v>87</v>
      </c>
      <c r="D45" s="57" t="s">
        <v>98</v>
      </c>
      <c r="E45" s="57" t="s">
        <v>99</v>
      </c>
      <c r="F45" s="57" t="s">
        <v>240</v>
      </c>
      <c r="G45" s="57" t="s">
        <v>152</v>
      </c>
      <c r="H45" s="58">
        <v>2222.54</v>
      </c>
      <c r="I45" s="58">
        <v>2222.54</v>
      </c>
      <c r="J45" s="58">
        <v>2222.54</v>
      </c>
      <c r="K45" s="58">
        <v>2222.54</v>
      </c>
      <c r="L45" s="58">
        <v>2222.54</v>
      </c>
      <c r="M45" s="58">
        <v>2222.54</v>
      </c>
      <c r="N45" s="58"/>
      <c r="O45" s="58">
        <v>2222.54</v>
      </c>
      <c r="P45" s="58">
        <v>2222.54</v>
      </c>
      <c r="Q45" s="58">
        <v>2222.54</v>
      </c>
      <c r="R45" s="472">
        <f t="shared" si="1"/>
        <v>0</v>
      </c>
      <c r="S45" s="472">
        <f t="shared" si="2"/>
        <v>0</v>
      </c>
      <c r="T45" s="472">
        <f t="shared" si="3"/>
        <v>0</v>
      </c>
      <c r="U45" s="54" t="s">
        <v>144</v>
      </c>
      <c r="V45" s="56" t="s">
        <v>87</v>
      </c>
      <c r="W45" s="57" t="s">
        <v>98</v>
      </c>
      <c r="X45" s="57" t="s">
        <v>99</v>
      </c>
      <c r="Y45" s="57" t="s">
        <v>240</v>
      </c>
      <c r="Z45" s="57" t="s">
        <v>152</v>
      </c>
      <c r="AA45" s="12" t="b">
        <f t="shared" si="6"/>
        <v>1</v>
      </c>
      <c r="AB45" s="12" t="b">
        <f t="shared" si="7"/>
        <v>1</v>
      </c>
      <c r="AC45" s="12" t="b">
        <f t="shared" si="8"/>
        <v>1</v>
      </c>
      <c r="AD45" s="12" t="b">
        <f t="shared" si="9"/>
        <v>1</v>
      </c>
      <c r="AE45" s="12" t="b">
        <f t="shared" si="10"/>
        <v>1</v>
      </c>
      <c r="AF45" s="12" t="b">
        <f t="shared" si="11"/>
        <v>1</v>
      </c>
    </row>
    <row r="46" spans="1:32" s="12" customFormat="1" ht="15.75" customHeight="1">
      <c r="A46" s="285"/>
      <c r="B46" s="32" t="s">
        <v>41</v>
      </c>
      <c r="C46" s="33" t="s">
        <v>87</v>
      </c>
      <c r="D46" s="34" t="s">
        <v>98</v>
      </c>
      <c r="E46" s="34" t="s">
        <v>69</v>
      </c>
      <c r="F46" s="34" t="s">
        <v>223</v>
      </c>
      <c r="G46" s="34" t="s">
        <v>90</v>
      </c>
      <c r="H46" s="35">
        <f t="shared" ref="H46:J47" si="33">H47</f>
        <v>134652.05000000002</v>
      </c>
      <c r="I46" s="35">
        <f t="shared" si="33"/>
        <v>134652.05000000002</v>
      </c>
      <c r="J46" s="35">
        <f t="shared" si="33"/>
        <v>134652.05000000002</v>
      </c>
      <c r="K46" s="35">
        <v>134652.05000000002</v>
      </c>
      <c r="L46" s="35">
        <v>134652.05000000002</v>
      </c>
      <c r="M46" s="35">
        <v>134652.05000000002</v>
      </c>
      <c r="N46" s="35"/>
      <c r="O46" s="35">
        <v>134643.75</v>
      </c>
      <c r="P46" s="35">
        <v>134643.75</v>
      </c>
      <c r="Q46" s="35">
        <v>134643.75</v>
      </c>
      <c r="R46" s="472">
        <f t="shared" si="1"/>
        <v>8.3000000000174623</v>
      </c>
      <c r="S46" s="472">
        <f t="shared" si="2"/>
        <v>8.3000000000174623</v>
      </c>
      <c r="T46" s="472">
        <f t="shared" si="3"/>
        <v>8.3000000000174623</v>
      </c>
      <c r="U46" s="32" t="s">
        <v>41</v>
      </c>
      <c r="V46" s="33" t="s">
        <v>87</v>
      </c>
      <c r="W46" s="34" t="s">
        <v>98</v>
      </c>
      <c r="X46" s="34" t="s">
        <v>69</v>
      </c>
      <c r="Y46" s="34" t="s">
        <v>223</v>
      </c>
      <c r="Z46" s="34" t="s">
        <v>90</v>
      </c>
      <c r="AA46" s="12" t="b">
        <f t="shared" si="6"/>
        <v>1</v>
      </c>
      <c r="AB46" s="12" t="b">
        <f t="shared" si="7"/>
        <v>1</v>
      </c>
      <c r="AC46" s="12" t="b">
        <f t="shared" si="8"/>
        <v>1</v>
      </c>
      <c r="AD46" s="12" t="b">
        <f t="shared" si="9"/>
        <v>1</v>
      </c>
      <c r="AE46" s="12" t="b">
        <f t="shared" si="10"/>
        <v>1</v>
      </c>
      <c r="AF46" s="12" t="b">
        <f t="shared" si="11"/>
        <v>1</v>
      </c>
    </row>
    <row r="47" spans="1:32" s="12" customFormat="1" ht="15.75" customHeight="1">
      <c r="A47" s="285"/>
      <c r="B47" s="54" t="s">
        <v>149</v>
      </c>
      <c r="C47" s="36" t="s">
        <v>87</v>
      </c>
      <c r="D47" s="37" t="s">
        <v>98</v>
      </c>
      <c r="E47" s="37" t="s">
        <v>69</v>
      </c>
      <c r="F47" s="37" t="s">
        <v>233</v>
      </c>
      <c r="G47" s="37" t="s">
        <v>90</v>
      </c>
      <c r="H47" s="183">
        <f t="shared" si="33"/>
        <v>134652.05000000002</v>
      </c>
      <c r="I47" s="183">
        <f t="shared" si="33"/>
        <v>134652.05000000002</v>
      </c>
      <c r="J47" s="183">
        <f t="shared" si="33"/>
        <v>134652.05000000002</v>
      </c>
      <c r="K47" s="183">
        <v>134652.05000000002</v>
      </c>
      <c r="L47" s="183">
        <v>134652.05000000002</v>
      </c>
      <c r="M47" s="183">
        <v>134652.05000000002</v>
      </c>
      <c r="N47" s="183"/>
      <c r="O47" s="183">
        <v>134643.75</v>
      </c>
      <c r="P47" s="183">
        <v>134643.75</v>
      </c>
      <c r="Q47" s="183">
        <v>134643.75</v>
      </c>
      <c r="R47" s="472">
        <f t="shared" si="1"/>
        <v>8.3000000000174623</v>
      </c>
      <c r="S47" s="472">
        <f t="shared" si="2"/>
        <v>8.3000000000174623</v>
      </c>
      <c r="T47" s="472">
        <f t="shared" si="3"/>
        <v>8.3000000000174623</v>
      </c>
      <c r="U47" s="54" t="s">
        <v>149</v>
      </c>
      <c r="V47" s="36" t="s">
        <v>87</v>
      </c>
      <c r="W47" s="37" t="s">
        <v>98</v>
      </c>
      <c r="X47" s="37" t="s">
        <v>69</v>
      </c>
      <c r="Y47" s="37" t="s">
        <v>233</v>
      </c>
      <c r="Z47" s="37" t="s">
        <v>90</v>
      </c>
      <c r="AA47" s="12" t="b">
        <f t="shared" si="6"/>
        <v>1</v>
      </c>
      <c r="AB47" s="12" t="b">
        <f t="shared" si="7"/>
        <v>1</v>
      </c>
      <c r="AC47" s="12" t="b">
        <f t="shared" si="8"/>
        <v>1</v>
      </c>
      <c r="AD47" s="12" t="b">
        <f t="shared" si="9"/>
        <v>1</v>
      </c>
      <c r="AE47" s="12" t="b">
        <f t="shared" si="10"/>
        <v>1</v>
      </c>
      <c r="AF47" s="12" t="b">
        <f t="shared" si="11"/>
        <v>1</v>
      </c>
    </row>
    <row r="48" spans="1:32" s="12" customFormat="1" ht="15.75" customHeight="1">
      <c r="A48" s="285"/>
      <c r="B48" s="54" t="s">
        <v>150</v>
      </c>
      <c r="C48" s="36" t="s">
        <v>87</v>
      </c>
      <c r="D48" s="37" t="s">
        <v>98</v>
      </c>
      <c r="E48" s="37" t="s">
        <v>69</v>
      </c>
      <c r="F48" s="37" t="s">
        <v>234</v>
      </c>
      <c r="G48" s="37" t="s">
        <v>90</v>
      </c>
      <c r="H48" s="183">
        <f>H49+H53+H55+H58</f>
        <v>134652.05000000002</v>
      </c>
      <c r="I48" s="183">
        <f t="shared" ref="I48:J48" si="34">I49+I53+I55+I58</f>
        <v>134652.05000000002</v>
      </c>
      <c r="J48" s="183">
        <f t="shared" si="34"/>
        <v>134652.05000000002</v>
      </c>
      <c r="K48" s="183">
        <v>134652.05000000002</v>
      </c>
      <c r="L48" s="183">
        <v>134652.05000000002</v>
      </c>
      <c r="M48" s="183">
        <v>134652.05000000002</v>
      </c>
      <c r="N48" s="183"/>
      <c r="O48" s="183">
        <v>134643.75</v>
      </c>
      <c r="P48" s="183">
        <v>134643.75</v>
      </c>
      <c r="Q48" s="183">
        <v>134643.75</v>
      </c>
      <c r="R48" s="472">
        <f t="shared" si="1"/>
        <v>8.3000000000174623</v>
      </c>
      <c r="S48" s="472">
        <f t="shared" si="2"/>
        <v>8.3000000000174623</v>
      </c>
      <c r="T48" s="472">
        <f t="shared" si="3"/>
        <v>8.3000000000174623</v>
      </c>
      <c r="U48" s="54" t="s">
        <v>150</v>
      </c>
      <c r="V48" s="36" t="s">
        <v>87</v>
      </c>
      <c r="W48" s="37" t="s">
        <v>98</v>
      </c>
      <c r="X48" s="37" t="s">
        <v>69</v>
      </c>
      <c r="Y48" s="37" t="s">
        <v>234</v>
      </c>
      <c r="Z48" s="37" t="s">
        <v>90</v>
      </c>
      <c r="AA48" s="12" t="b">
        <f t="shared" si="6"/>
        <v>1</v>
      </c>
      <c r="AB48" s="12" t="b">
        <f t="shared" si="7"/>
        <v>1</v>
      </c>
      <c r="AC48" s="12" t="b">
        <f t="shared" si="8"/>
        <v>1</v>
      </c>
      <c r="AD48" s="12" t="b">
        <f t="shared" si="9"/>
        <v>1</v>
      </c>
      <c r="AE48" s="12" t="b">
        <f t="shared" si="10"/>
        <v>1</v>
      </c>
      <c r="AF48" s="12" t="b">
        <f t="shared" si="11"/>
        <v>1</v>
      </c>
    </row>
    <row r="49" spans="1:32" s="12" customFormat="1" ht="15.75" customHeight="1">
      <c r="A49" s="285"/>
      <c r="B49" s="54" t="s">
        <v>151</v>
      </c>
      <c r="C49" s="56" t="s">
        <v>87</v>
      </c>
      <c r="D49" s="57" t="s">
        <v>98</v>
      </c>
      <c r="E49" s="57" t="s">
        <v>69</v>
      </c>
      <c r="F49" s="57" t="s">
        <v>235</v>
      </c>
      <c r="G49" s="57" t="s">
        <v>90</v>
      </c>
      <c r="H49" s="58">
        <f>SUM(H50:H52)</f>
        <v>11737.509999999998</v>
      </c>
      <c r="I49" s="183">
        <f>SUM(I50:I52)</f>
        <v>11737.509999999998</v>
      </c>
      <c r="J49" s="183">
        <f>SUM(J50:J52)</f>
        <v>11737.509999999998</v>
      </c>
      <c r="K49" s="183">
        <v>11737.509999999998</v>
      </c>
      <c r="L49" s="183">
        <v>11737.509999999998</v>
      </c>
      <c r="M49" s="183">
        <v>11737.509999999998</v>
      </c>
      <c r="N49" s="183"/>
      <c r="O49" s="183">
        <v>11737.509999999998</v>
      </c>
      <c r="P49" s="183">
        <v>11737.509999999998</v>
      </c>
      <c r="Q49" s="183">
        <v>11737.509999999998</v>
      </c>
      <c r="R49" s="472">
        <f t="shared" si="1"/>
        <v>0</v>
      </c>
      <c r="S49" s="472">
        <f t="shared" si="2"/>
        <v>0</v>
      </c>
      <c r="T49" s="472">
        <f t="shared" si="3"/>
        <v>0</v>
      </c>
      <c r="U49" s="54" t="s">
        <v>151</v>
      </c>
      <c r="V49" s="56" t="s">
        <v>87</v>
      </c>
      <c r="W49" s="57" t="s">
        <v>98</v>
      </c>
      <c r="X49" s="57" t="s">
        <v>69</v>
      </c>
      <c r="Y49" s="57" t="s">
        <v>235</v>
      </c>
      <c r="Z49" s="57" t="s">
        <v>90</v>
      </c>
      <c r="AA49" s="12" t="b">
        <f t="shared" si="6"/>
        <v>1</v>
      </c>
      <c r="AB49" s="12" t="b">
        <f t="shared" si="7"/>
        <v>1</v>
      </c>
      <c r="AC49" s="12" t="b">
        <f t="shared" si="8"/>
        <v>1</v>
      </c>
      <c r="AD49" s="12" t="b">
        <f t="shared" si="9"/>
        <v>1</v>
      </c>
      <c r="AE49" s="12" t="b">
        <f t="shared" si="10"/>
        <v>1</v>
      </c>
      <c r="AF49" s="12" t="b">
        <f t="shared" si="11"/>
        <v>1</v>
      </c>
    </row>
    <row r="50" spans="1:32" s="12" customFormat="1" ht="15.75" customHeight="1">
      <c r="A50" s="285"/>
      <c r="B50" s="182" t="s">
        <v>144</v>
      </c>
      <c r="C50" s="36" t="s">
        <v>87</v>
      </c>
      <c r="D50" s="37" t="s">
        <v>98</v>
      </c>
      <c r="E50" s="37" t="s">
        <v>69</v>
      </c>
      <c r="F50" s="37" t="s">
        <v>235</v>
      </c>
      <c r="G50" s="37" t="s">
        <v>152</v>
      </c>
      <c r="H50" s="183">
        <f>4403.82-335.17</f>
        <v>4068.6499999999996</v>
      </c>
      <c r="I50" s="183">
        <f>4403.82-335.17</f>
        <v>4068.6499999999996</v>
      </c>
      <c r="J50" s="183">
        <f>4403.82-335.17</f>
        <v>4068.6499999999996</v>
      </c>
      <c r="K50" s="183">
        <v>4068.6499999999996</v>
      </c>
      <c r="L50" s="183">
        <v>4068.6499999999996</v>
      </c>
      <c r="M50" s="183">
        <v>4068.6499999999996</v>
      </c>
      <c r="N50" s="183"/>
      <c r="O50" s="183">
        <v>4068.6499999999996</v>
      </c>
      <c r="P50" s="183">
        <v>4068.6499999999996</v>
      </c>
      <c r="Q50" s="183">
        <v>4068.6499999999996</v>
      </c>
      <c r="R50" s="472">
        <f t="shared" si="1"/>
        <v>0</v>
      </c>
      <c r="S50" s="472">
        <f t="shared" si="2"/>
        <v>0</v>
      </c>
      <c r="T50" s="472">
        <f t="shared" si="3"/>
        <v>0</v>
      </c>
      <c r="U50" s="182" t="s">
        <v>144</v>
      </c>
      <c r="V50" s="36" t="s">
        <v>87</v>
      </c>
      <c r="W50" s="37" t="s">
        <v>98</v>
      </c>
      <c r="X50" s="37" t="s">
        <v>69</v>
      </c>
      <c r="Y50" s="37" t="s">
        <v>235</v>
      </c>
      <c r="Z50" s="37" t="s">
        <v>152</v>
      </c>
      <c r="AA50" s="12" t="b">
        <f t="shared" si="6"/>
        <v>1</v>
      </c>
      <c r="AB50" s="12" t="b">
        <f t="shared" si="7"/>
        <v>1</v>
      </c>
      <c r="AC50" s="12" t="b">
        <f t="shared" si="8"/>
        <v>1</v>
      </c>
      <c r="AD50" s="12" t="b">
        <f t="shared" si="9"/>
        <v>1</v>
      </c>
      <c r="AE50" s="12" t="b">
        <f t="shared" si="10"/>
        <v>1</v>
      </c>
      <c r="AF50" s="12" t="b">
        <f t="shared" si="11"/>
        <v>1</v>
      </c>
    </row>
    <row r="51" spans="1:32" s="12" customFormat="1" ht="15.75" customHeight="1">
      <c r="A51" s="285"/>
      <c r="B51" s="182" t="s">
        <v>145</v>
      </c>
      <c r="C51" s="36" t="s">
        <v>87</v>
      </c>
      <c r="D51" s="37" t="s">
        <v>98</v>
      </c>
      <c r="E51" s="37" t="s">
        <v>69</v>
      </c>
      <c r="F51" s="37" t="s">
        <v>235</v>
      </c>
      <c r="G51" s="37" t="s">
        <v>153</v>
      </c>
      <c r="H51" s="183">
        <v>7644.86</v>
      </c>
      <c r="I51" s="183">
        <v>7644.86</v>
      </c>
      <c r="J51" s="183">
        <v>7644.86</v>
      </c>
      <c r="K51" s="183">
        <v>7644.86</v>
      </c>
      <c r="L51" s="183">
        <v>7644.86</v>
      </c>
      <c r="M51" s="183">
        <v>7644.86</v>
      </c>
      <c r="N51" s="183"/>
      <c r="O51" s="183">
        <v>7644.86</v>
      </c>
      <c r="P51" s="183">
        <v>7644.86</v>
      </c>
      <c r="Q51" s="183">
        <v>7644.86</v>
      </c>
      <c r="R51" s="472">
        <f t="shared" si="1"/>
        <v>0</v>
      </c>
      <c r="S51" s="472">
        <f t="shared" si="2"/>
        <v>0</v>
      </c>
      <c r="T51" s="472">
        <f t="shared" si="3"/>
        <v>0</v>
      </c>
      <c r="U51" s="182" t="s">
        <v>145</v>
      </c>
      <c r="V51" s="36" t="s">
        <v>87</v>
      </c>
      <c r="W51" s="37" t="s">
        <v>98</v>
      </c>
      <c r="X51" s="37" t="s">
        <v>69</v>
      </c>
      <c r="Y51" s="37" t="s">
        <v>235</v>
      </c>
      <c r="Z51" s="37" t="s">
        <v>153</v>
      </c>
      <c r="AA51" s="12" t="b">
        <f t="shared" si="6"/>
        <v>1</v>
      </c>
      <c r="AB51" s="12" t="b">
        <f t="shared" si="7"/>
        <v>1</v>
      </c>
      <c r="AC51" s="12" t="b">
        <f t="shared" si="8"/>
        <v>1</v>
      </c>
      <c r="AD51" s="12" t="b">
        <f t="shared" si="9"/>
        <v>1</v>
      </c>
      <c r="AE51" s="12" t="b">
        <f t="shared" si="10"/>
        <v>1</v>
      </c>
      <c r="AF51" s="12" t="b">
        <f t="shared" si="11"/>
        <v>1</v>
      </c>
    </row>
    <row r="52" spans="1:32" s="12" customFormat="1" ht="15.75" customHeight="1">
      <c r="A52" s="285"/>
      <c r="B52" s="182" t="s">
        <v>137</v>
      </c>
      <c r="C52" s="36" t="s">
        <v>87</v>
      </c>
      <c r="D52" s="37" t="s">
        <v>98</v>
      </c>
      <c r="E52" s="37" t="s">
        <v>69</v>
      </c>
      <c r="F52" s="37" t="s">
        <v>235</v>
      </c>
      <c r="G52" s="37" t="s">
        <v>155</v>
      </c>
      <c r="H52" s="183">
        <v>24</v>
      </c>
      <c r="I52" s="183">
        <v>24</v>
      </c>
      <c r="J52" s="183">
        <v>24</v>
      </c>
      <c r="K52" s="183">
        <v>24</v>
      </c>
      <c r="L52" s="183">
        <v>24</v>
      </c>
      <c r="M52" s="183">
        <v>24</v>
      </c>
      <c r="N52" s="183"/>
      <c r="O52" s="183">
        <v>24</v>
      </c>
      <c r="P52" s="183">
        <v>24</v>
      </c>
      <c r="Q52" s="183">
        <v>24</v>
      </c>
      <c r="R52" s="472">
        <f t="shared" si="1"/>
        <v>0</v>
      </c>
      <c r="S52" s="472">
        <f t="shared" si="2"/>
        <v>0</v>
      </c>
      <c r="T52" s="472">
        <f t="shared" si="3"/>
        <v>0</v>
      </c>
      <c r="U52" s="182" t="s">
        <v>137</v>
      </c>
      <c r="V52" s="36" t="s">
        <v>87</v>
      </c>
      <c r="W52" s="37" t="s">
        <v>98</v>
      </c>
      <c r="X52" s="37" t="s">
        <v>69</v>
      </c>
      <c r="Y52" s="37" t="s">
        <v>235</v>
      </c>
      <c r="Z52" s="37" t="s">
        <v>155</v>
      </c>
      <c r="AA52" s="12" t="b">
        <f t="shared" si="6"/>
        <v>1</v>
      </c>
      <c r="AB52" s="12" t="b">
        <f t="shared" si="7"/>
        <v>1</v>
      </c>
      <c r="AC52" s="12" t="b">
        <f t="shared" si="8"/>
        <v>1</v>
      </c>
      <c r="AD52" s="12" t="b">
        <f t="shared" si="9"/>
        <v>1</v>
      </c>
      <c r="AE52" s="12" t="b">
        <f t="shared" si="10"/>
        <v>1</v>
      </c>
      <c r="AF52" s="12" t="b">
        <f t="shared" si="11"/>
        <v>1</v>
      </c>
    </row>
    <row r="53" spans="1:32" s="12" customFormat="1" ht="15.75" customHeight="1">
      <c r="A53" s="285"/>
      <c r="B53" s="182" t="s">
        <v>161</v>
      </c>
      <c r="C53" s="36" t="s">
        <v>87</v>
      </c>
      <c r="D53" s="37" t="s">
        <v>98</v>
      </c>
      <c r="E53" s="37" t="s">
        <v>69</v>
      </c>
      <c r="F53" s="37" t="s">
        <v>236</v>
      </c>
      <c r="G53" s="37" t="s">
        <v>90</v>
      </c>
      <c r="H53" s="183">
        <f>H54</f>
        <v>121518.51000000001</v>
      </c>
      <c r="I53" s="183">
        <f>I54</f>
        <v>121518.51000000001</v>
      </c>
      <c r="J53" s="183">
        <f>J54</f>
        <v>121518.51000000001</v>
      </c>
      <c r="K53" s="183">
        <v>121518.51000000001</v>
      </c>
      <c r="L53" s="183">
        <v>121518.51000000001</v>
      </c>
      <c r="M53" s="183">
        <v>121518.51000000001</v>
      </c>
      <c r="N53" s="183"/>
      <c r="O53" s="183">
        <v>121510.21</v>
      </c>
      <c r="P53" s="183">
        <v>121510.21</v>
      </c>
      <c r="Q53" s="183">
        <v>121510.21</v>
      </c>
      <c r="R53" s="472">
        <f t="shared" si="1"/>
        <v>8.3000000000029104</v>
      </c>
      <c r="S53" s="472">
        <f t="shared" si="2"/>
        <v>8.3000000000029104</v>
      </c>
      <c r="T53" s="472">
        <f t="shared" si="3"/>
        <v>8.3000000000029104</v>
      </c>
      <c r="U53" s="182" t="s">
        <v>161</v>
      </c>
      <c r="V53" s="36" t="s">
        <v>87</v>
      </c>
      <c r="W53" s="37" t="s">
        <v>98</v>
      </c>
      <c r="X53" s="37" t="s">
        <v>69</v>
      </c>
      <c r="Y53" s="37" t="s">
        <v>236</v>
      </c>
      <c r="Z53" s="37" t="s">
        <v>90</v>
      </c>
      <c r="AA53" s="12" t="b">
        <f t="shared" si="6"/>
        <v>1</v>
      </c>
      <c r="AB53" s="12" t="b">
        <f t="shared" si="7"/>
        <v>1</v>
      </c>
      <c r="AC53" s="12" t="b">
        <f t="shared" si="8"/>
        <v>1</v>
      </c>
      <c r="AD53" s="12" t="b">
        <f t="shared" si="9"/>
        <v>1</v>
      </c>
      <c r="AE53" s="12" t="b">
        <f t="shared" si="10"/>
        <v>1</v>
      </c>
      <c r="AF53" s="12" t="b">
        <f t="shared" si="11"/>
        <v>1</v>
      </c>
    </row>
    <row r="54" spans="1:32" s="12" customFormat="1" ht="15.75" customHeight="1">
      <c r="A54" s="285"/>
      <c r="B54" s="182" t="s">
        <v>144</v>
      </c>
      <c r="C54" s="36" t="s">
        <v>87</v>
      </c>
      <c r="D54" s="37" t="s">
        <v>98</v>
      </c>
      <c r="E54" s="37" t="s">
        <v>69</v>
      </c>
      <c r="F54" s="37" t="s">
        <v>236</v>
      </c>
      <c r="G54" s="37" t="s">
        <v>152</v>
      </c>
      <c r="H54" s="183">
        <f>121510.21+8.3</f>
        <v>121518.51000000001</v>
      </c>
      <c r="I54" s="183">
        <f t="shared" ref="I54:J54" si="35">121510.21+8.3</f>
        <v>121518.51000000001</v>
      </c>
      <c r="J54" s="183">
        <f t="shared" si="35"/>
        <v>121518.51000000001</v>
      </c>
      <c r="K54" s="183">
        <v>121518.51000000001</v>
      </c>
      <c r="L54" s="183">
        <v>121518.51000000001</v>
      </c>
      <c r="M54" s="183">
        <v>121518.51000000001</v>
      </c>
      <c r="N54" s="183"/>
      <c r="O54" s="183">
        <v>121510.21</v>
      </c>
      <c r="P54" s="183">
        <v>121510.21</v>
      </c>
      <c r="Q54" s="183">
        <v>121510.21</v>
      </c>
      <c r="R54" s="472">
        <f t="shared" si="1"/>
        <v>8.3000000000029104</v>
      </c>
      <c r="S54" s="472">
        <f t="shared" si="2"/>
        <v>8.3000000000029104</v>
      </c>
      <c r="T54" s="472">
        <f t="shared" si="3"/>
        <v>8.3000000000029104</v>
      </c>
      <c r="U54" s="182" t="s">
        <v>144</v>
      </c>
      <c r="V54" s="36" t="s">
        <v>87</v>
      </c>
      <c r="W54" s="37" t="s">
        <v>98</v>
      </c>
      <c r="X54" s="37" t="s">
        <v>69</v>
      </c>
      <c r="Y54" s="37" t="s">
        <v>236</v>
      </c>
      <c r="Z54" s="37" t="s">
        <v>152</v>
      </c>
      <c r="AA54" s="12" t="b">
        <f t="shared" si="6"/>
        <v>1</v>
      </c>
      <c r="AB54" s="12" t="b">
        <f t="shared" si="7"/>
        <v>1</v>
      </c>
      <c r="AC54" s="12" t="b">
        <f t="shared" si="8"/>
        <v>1</v>
      </c>
      <c r="AD54" s="12" t="b">
        <f t="shared" si="9"/>
        <v>1</v>
      </c>
      <c r="AE54" s="12" t="b">
        <f t="shared" si="10"/>
        <v>1</v>
      </c>
      <c r="AF54" s="12" t="b">
        <f t="shared" si="11"/>
        <v>1</v>
      </c>
    </row>
    <row r="55" spans="1:32" s="12" customFormat="1" ht="15.75" customHeight="1">
      <c r="A55" s="285" t="s">
        <v>799</v>
      </c>
      <c r="B55" s="54" t="s">
        <v>1266</v>
      </c>
      <c r="C55" s="56" t="s">
        <v>87</v>
      </c>
      <c r="D55" s="57" t="s">
        <v>98</v>
      </c>
      <c r="E55" s="57" t="s">
        <v>69</v>
      </c>
      <c r="F55" s="57" t="s">
        <v>237</v>
      </c>
      <c r="G55" s="57" t="s">
        <v>90</v>
      </c>
      <c r="H55" s="183">
        <f>SUM(H56:H57)</f>
        <v>1387.03</v>
      </c>
      <c r="I55" s="183">
        <f>SUM(I56:I57)</f>
        <v>1387.03</v>
      </c>
      <c r="J55" s="183">
        <f>SUM(J56:J57)</f>
        <v>1387.03</v>
      </c>
      <c r="K55" s="183">
        <v>1387.03</v>
      </c>
      <c r="L55" s="183">
        <v>1387.03</v>
      </c>
      <c r="M55" s="183">
        <v>1387.03</v>
      </c>
      <c r="N55" s="183"/>
      <c r="O55" s="183">
        <v>1387.03</v>
      </c>
      <c r="P55" s="183">
        <v>1387.03</v>
      </c>
      <c r="Q55" s="183">
        <v>1387.03</v>
      </c>
      <c r="R55" s="472">
        <f t="shared" si="1"/>
        <v>0</v>
      </c>
      <c r="S55" s="472">
        <f t="shared" si="2"/>
        <v>0</v>
      </c>
      <c r="T55" s="472">
        <f t="shared" si="3"/>
        <v>0</v>
      </c>
      <c r="U55" s="182" t="s">
        <v>845</v>
      </c>
      <c r="V55" s="56" t="s">
        <v>87</v>
      </c>
      <c r="W55" s="57" t="s">
        <v>98</v>
      </c>
      <c r="X55" s="57" t="s">
        <v>69</v>
      </c>
      <c r="Y55" s="57" t="s">
        <v>237</v>
      </c>
      <c r="Z55" s="57" t="s">
        <v>90</v>
      </c>
      <c r="AA55" s="12" t="b">
        <f t="shared" si="6"/>
        <v>0</v>
      </c>
      <c r="AB55" s="12" t="b">
        <f t="shared" si="7"/>
        <v>1</v>
      </c>
      <c r="AC55" s="12" t="b">
        <f t="shared" si="8"/>
        <v>1</v>
      </c>
      <c r="AD55" s="12" t="b">
        <f t="shared" si="9"/>
        <v>1</v>
      </c>
      <c r="AE55" s="12" t="b">
        <f t="shared" si="10"/>
        <v>1</v>
      </c>
      <c r="AF55" s="12" t="b">
        <f t="shared" si="11"/>
        <v>1</v>
      </c>
    </row>
    <row r="56" spans="1:32" s="12" customFormat="1" ht="15.75" customHeight="1">
      <c r="A56" s="285" t="s">
        <v>799</v>
      </c>
      <c r="B56" s="54" t="s">
        <v>144</v>
      </c>
      <c r="C56" s="56" t="s">
        <v>87</v>
      </c>
      <c r="D56" s="57" t="s">
        <v>98</v>
      </c>
      <c r="E56" s="57" t="s">
        <v>69</v>
      </c>
      <c r="F56" s="57" t="s">
        <v>237</v>
      </c>
      <c r="G56" s="57" t="s">
        <v>152</v>
      </c>
      <c r="H56" s="58">
        <v>1097.3399999999999</v>
      </c>
      <c r="I56" s="58">
        <v>1097.3399999999999</v>
      </c>
      <c r="J56" s="58">
        <v>1097.3399999999999</v>
      </c>
      <c r="K56" s="58">
        <v>1097.3399999999999</v>
      </c>
      <c r="L56" s="58">
        <v>1097.3399999999999</v>
      </c>
      <c r="M56" s="58">
        <v>1097.3399999999999</v>
      </c>
      <c r="N56" s="58"/>
      <c r="O56" s="58">
        <v>1097.3399999999999</v>
      </c>
      <c r="P56" s="58">
        <v>1097.3399999999999</v>
      </c>
      <c r="Q56" s="58">
        <v>1097.3399999999999</v>
      </c>
      <c r="R56" s="472">
        <f t="shared" si="1"/>
        <v>0</v>
      </c>
      <c r="S56" s="472">
        <f t="shared" si="2"/>
        <v>0</v>
      </c>
      <c r="T56" s="472">
        <f t="shared" si="3"/>
        <v>0</v>
      </c>
      <c r="U56" s="54" t="s">
        <v>144</v>
      </c>
      <c r="V56" s="56" t="s">
        <v>87</v>
      </c>
      <c r="W56" s="57" t="s">
        <v>98</v>
      </c>
      <c r="X56" s="57" t="s">
        <v>69</v>
      </c>
      <c r="Y56" s="57" t="s">
        <v>237</v>
      </c>
      <c r="Z56" s="57" t="s">
        <v>152</v>
      </c>
      <c r="AA56" s="12" t="b">
        <f t="shared" si="6"/>
        <v>1</v>
      </c>
      <c r="AB56" s="12" t="b">
        <f t="shared" si="7"/>
        <v>1</v>
      </c>
      <c r="AC56" s="12" t="b">
        <f t="shared" si="8"/>
        <v>1</v>
      </c>
      <c r="AD56" s="12" t="b">
        <f t="shared" si="9"/>
        <v>1</v>
      </c>
      <c r="AE56" s="12" t="b">
        <f t="shared" si="10"/>
        <v>1</v>
      </c>
      <c r="AF56" s="12" t="b">
        <f t="shared" si="11"/>
        <v>1</v>
      </c>
    </row>
    <row r="57" spans="1:32" s="12" customFormat="1" ht="15.75" customHeight="1">
      <c r="A57" s="285" t="s">
        <v>799</v>
      </c>
      <c r="B57" s="182" t="s">
        <v>145</v>
      </c>
      <c r="C57" s="36" t="s">
        <v>87</v>
      </c>
      <c r="D57" s="37" t="s">
        <v>98</v>
      </c>
      <c r="E57" s="37" t="s">
        <v>69</v>
      </c>
      <c r="F57" s="37" t="s">
        <v>237</v>
      </c>
      <c r="G57" s="37" t="s">
        <v>153</v>
      </c>
      <c r="H57" s="183">
        <v>289.69</v>
      </c>
      <c r="I57" s="183">
        <v>289.69</v>
      </c>
      <c r="J57" s="183">
        <v>289.69</v>
      </c>
      <c r="K57" s="183">
        <v>289.69</v>
      </c>
      <c r="L57" s="183">
        <v>289.69</v>
      </c>
      <c r="M57" s="183">
        <v>289.69</v>
      </c>
      <c r="N57" s="183"/>
      <c r="O57" s="183">
        <v>289.69</v>
      </c>
      <c r="P57" s="183">
        <v>289.69</v>
      </c>
      <c r="Q57" s="183">
        <v>289.69</v>
      </c>
      <c r="R57" s="472">
        <f t="shared" si="1"/>
        <v>0</v>
      </c>
      <c r="S57" s="472">
        <f t="shared" si="2"/>
        <v>0</v>
      </c>
      <c r="T57" s="472">
        <f t="shared" si="3"/>
        <v>0</v>
      </c>
      <c r="U57" s="182" t="s">
        <v>145</v>
      </c>
      <c r="V57" s="36" t="s">
        <v>87</v>
      </c>
      <c r="W57" s="37" t="s">
        <v>98</v>
      </c>
      <c r="X57" s="37" t="s">
        <v>69</v>
      </c>
      <c r="Y57" s="37" t="s">
        <v>237</v>
      </c>
      <c r="Z57" s="37" t="s">
        <v>153</v>
      </c>
      <c r="AA57" s="12" t="b">
        <f t="shared" si="6"/>
        <v>1</v>
      </c>
      <c r="AB57" s="12" t="b">
        <f t="shared" si="7"/>
        <v>1</v>
      </c>
      <c r="AC57" s="12" t="b">
        <f t="shared" si="8"/>
        <v>1</v>
      </c>
      <c r="AD57" s="12" t="b">
        <f t="shared" si="9"/>
        <v>1</v>
      </c>
      <c r="AE57" s="12" t="b">
        <f t="shared" si="10"/>
        <v>1</v>
      </c>
      <c r="AF57" s="12" t="b">
        <f t="shared" si="11"/>
        <v>1</v>
      </c>
    </row>
    <row r="58" spans="1:32" s="12" customFormat="1" ht="15.75" customHeight="1">
      <c r="A58" s="285" t="s">
        <v>799</v>
      </c>
      <c r="B58" s="182" t="s">
        <v>1265</v>
      </c>
      <c r="C58" s="56" t="s">
        <v>87</v>
      </c>
      <c r="D58" s="57" t="s">
        <v>98</v>
      </c>
      <c r="E58" s="57" t="s">
        <v>69</v>
      </c>
      <c r="F58" s="57" t="s">
        <v>238</v>
      </c>
      <c r="G58" s="57" t="s">
        <v>90</v>
      </c>
      <c r="H58" s="58">
        <f>H59</f>
        <v>9</v>
      </c>
      <c r="I58" s="58">
        <f>I59</f>
        <v>9</v>
      </c>
      <c r="J58" s="58">
        <f>J59</f>
        <v>9</v>
      </c>
      <c r="K58" s="58">
        <v>9</v>
      </c>
      <c r="L58" s="58">
        <v>9</v>
      </c>
      <c r="M58" s="58">
        <v>9</v>
      </c>
      <c r="N58" s="58"/>
      <c r="O58" s="58">
        <v>9</v>
      </c>
      <c r="P58" s="58">
        <v>9</v>
      </c>
      <c r="Q58" s="58">
        <v>9</v>
      </c>
      <c r="R58" s="472">
        <f t="shared" si="1"/>
        <v>0</v>
      </c>
      <c r="S58" s="472">
        <f t="shared" si="2"/>
        <v>0</v>
      </c>
      <c r="T58" s="472">
        <f t="shared" si="3"/>
        <v>0</v>
      </c>
      <c r="U58" s="182" t="s">
        <v>519</v>
      </c>
      <c r="V58" s="56" t="s">
        <v>87</v>
      </c>
      <c r="W58" s="57" t="s">
        <v>98</v>
      </c>
      <c r="X58" s="57" t="s">
        <v>69</v>
      </c>
      <c r="Y58" s="57" t="s">
        <v>238</v>
      </c>
      <c r="Z58" s="57" t="s">
        <v>90</v>
      </c>
      <c r="AA58" s="12" t="b">
        <f t="shared" si="6"/>
        <v>0</v>
      </c>
      <c r="AB58" s="12" t="b">
        <f t="shared" si="7"/>
        <v>1</v>
      </c>
      <c r="AC58" s="12" t="b">
        <f t="shared" si="8"/>
        <v>1</v>
      </c>
      <c r="AD58" s="12" t="b">
        <f t="shared" si="9"/>
        <v>1</v>
      </c>
      <c r="AE58" s="12" t="b">
        <f t="shared" si="10"/>
        <v>1</v>
      </c>
      <c r="AF58" s="12" t="b">
        <f t="shared" si="11"/>
        <v>1</v>
      </c>
    </row>
    <row r="59" spans="1:32" s="12" customFormat="1" ht="15.75" customHeight="1">
      <c r="A59" s="285" t="s">
        <v>799</v>
      </c>
      <c r="B59" s="182" t="s">
        <v>145</v>
      </c>
      <c r="C59" s="36" t="s">
        <v>87</v>
      </c>
      <c r="D59" s="37" t="s">
        <v>98</v>
      </c>
      <c r="E59" s="37" t="s">
        <v>69</v>
      </c>
      <c r="F59" s="37" t="s">
        <v>238</v>
      </c>
      <c r="G59" s="37" t="s">
        <v>153</v>
      </c>
      <c r="H59" s="183">
        <v>9</v>
      </c>
      <c r="I59" s="183">
        <v>9</v>
      </c>
      <c r="J59" s="183">
        <v>9</v>
      </c>
      <c r="K59" s="183">
        <v>9</v>
      </c>
      <c r="L59" s="183">
        <v>9</v>
      </c>
      <c r="M59" s="183">
        <v>9</v>
      </c>
      <c r="N59" s="183"/>
      <c r="O59" s="183">
        <v>9</v>
      </c>
      <c r="P59" s="183">
        <v>9</v>
      </c>
      <c r="Q59" s="183">
        <v>9</v>
      </c>
      <c r="R59" s="472">
        <f t="shared" si="1"/>
        <v>0</v>
      </c>
      <c r="S59" s="472">
        <f t="shared" si="2"/>
        <v>0</v>
      </c>
      <c r="T59" s="472">
        <f t="shared" si="3"/>
        <v>0</v>
      </c>
      <c r="U59" s="182" t="s">
        <v>145</v>
      </c>
      <c r="V59" s="36" t="s">
        <v>87</v>
      </c>
      <c r="W59" s="37" t="s">
        <v>98</v>
      </c>
      <c r="X59" s="37" t="s">
        <v>69</v>
      </c>
      <c r="Y59" s="37" t="s">
        <v>238</v>
      </c>
      <c r="Z59" s="37" t="s">
        <v>153</v>
      </c>
      <c r="AA59" s="12" t="b">
        <f t="shared" si="6"/>
        <v>1</v>
      </c>
      <c r="AB59" s="12" t="b">
        <f t="shared" si="7"/>
        <v>1</v>
      </c>
      <c r="AC59" s="12" t="b">
        <f t="shared" si="8"/>
        <v>1</v>
      </c>
      <c r="AD59" s="12" t="b">
        <f t="shared" si="9"/>
        <v>1</v>
      </c>
      <c r="AE59" s="12" t="b">
        <f t="shared" si="10"/>
        <v>1</v>
      </c>
      <c r="AF59" s="12" t="b">
        <f t="shared" si="11"/>
        <v>1</v>
      </c>
    </row>
    <row r="60" spans="1:32" s="12" customFormat="1" ht="15.75" customHeight="1">
      <c r="A60" s="285"/>
      <c r="B60" s="32" t="s">
        <v>89</v>
      </c>
      <c r="C60" s="33" t="s">
        <v>87</v>
      </c>
      <c r="D60" s="34" t="s">
        <v>98</v>
      </c>
      <c r="E60" s="34" t="s">
        <v>7</v>
      </c>
      <c r="F60" s="34" t="s">
        <v>223</v>
      </c>
      <c r="G60" s="34" t="s">
        <v>90</v>
      </c>
      <c r="H60" s="35">
        <f>H61</f>
        <v>56.23</v>
      </c>
      <c r="I60" s="35">
        <f>I61</f>
        <v>58.94</v>
      </c>
      <c r="J60" s="35">
        <f>J61</f>
        <v>52.68</v>
      </c>
      <c r="K60" s="35">
        <v>56.23</v>
      </c>
      <c r="L60" s="35">
        <v>58.94</v>
      </c>
      <c r="M60" s="35">
        <v>52.68</v>
      </c>
      <c r="N60" s="35"/>
      <c r="O60" s="35">
        <v>56.23</v>
      </c>
      <c r="P60" s="35">
        <v>58.94</v>
      </c>
      <c r="Q60" s="35">
        <v>52.68</v>
      </c>
      <c r="R60" s="472">
        <f t="shared" si="1"/>
        <v>0</v>
      </c>
      <c r="S60" s="472">
        <f t="shared" si="2"/>
        <v>0</v>
      </c>
      <c r="T60" s="472">
        <f t="shared" si="3"/>
        <v>0</v>
      </c>
      <c r="U60" s="32" t="s">
        <v>89</v>
      </c>
      <c r="V60" s="33" t="s">
        <v>87</v>
      </c>
      <c r="W60" s="34" t="s">
        <v>98</v>
      </c>
      <c r="X60" s="34" t="s">
        <v>7</v>
      </c>
      <c r="Y60" s="34" t="s">
        <v>223</v>
      </c>
      <c r="Z60" s="34" t="s">
        <v>90</v>
      </c>
      <c r="AA60" s="12" t="b">
        <f t="shared" si="6"/>
        <v>1</v>
      </c>
      <c r="AB60" s="12" t="b">
        <f t="shared" si="7"/>
        <v>1</v>
      </c>
      <c r="AC60" s="12" t="b">
        <f t="shared" si="8"/>
        <v>1</v>
      </c>
      <c r="AD60" s="12" t="b">
        <f t="shared" si="9"/>
        <v>1</v>
      </c>
      <c r="AE60" s="12" t="b">
        <f t="shared" si="10"/>
        <v>1</v>
      </c>
      <c r="AF60" s="12" t="b">
        <f t="shared" si="11"/>
        <v>1</v>
      </c>
    </row>
    <row r="61" spans="1:32" s="12" customFormat="1" ht="15.75" customHeight="1">
      <c r="A61" s="285"/>
      <c r="B61" s="182" t="s">
        <v>607</v>
      </c>
      <c r="C61" s="36" t="s">
        <v>87</v>
      </c>
      <c r="D61" s="37" t="s">
        <v>98</v>
      </c>
      <c r="E61" s="57" t="s">
        <v>7</v>
      </c>
      <c r="F61" s="37" t="s">
        <v>604</v>
      </c>
      <c r="G61" s="37" t="s">
        <v>90</v>
      </c>
      <c r="H61" s="183">
        <f t="shared" ref="H61:J63" si="36">H62</f>
        <v>56.23</v>
      </c>
      <c r="I61" s="183">
        <f t="shared" si="36"/>
        <v>58.94</v>
      </c>
      <c r="J61" s="183">
        <f t="shared" si="36"/>
        <v>52.68</v>
      </c>
      <c r="K61" s="183">
        <v>56.23</v>
      </c>
      <c r="L61" s="183">
        <v>58.94</v>
      </c>
      <c r="M61" s="183">
        <v>52.68</v>
      </c>
      <c r="N61" s="183"/>
      <c r="O61" s="183">
        <v>56.23</v>
      </c>
      <c r="P61" s="183">
        <v>58.94</v>
      </c>
      <c r="Q61" s="183">
        <v>52.68</v>
      </c>
      <c r="R61" s="472">
        <f t="shared" si="1"/>
        <v>0</v>
      </c>
      <c r="S61" s="472">
        <f t="shared" si="2"/>
        <v>0</v>
      </c>
      <c r="T61" s="472">
        <f t="shared" si="3"/>
        <v>0</v>
      </c>
      <c r="U61" s="182" t="s">
        <v>607</v>
      </c>
      <c r="V61" s="36" t="s">
        <v>87</v>
      </c>
      <c r="W61" s="37" t="s">
        <v>98</v>
      </c>
      <c r="X61" s="57" t="s">
        <v>7</v>
      </c>
      <c r="Y61" s="37" t="s">
        <v>604</v>
      </c>
      <c r="Z61" s="37" t="s">
        <v>90</v>
      </c>
      <c r="AA61" s="12" t="b">
        <f t="shared" si="6"/>
        <v>1</v>
      </c>
      <c r="AB61" s="12" t="b">
        <f t="shared" si="7"/>
        <v>1</v>
      </c>
      <c r="AC61" s="12" t="b">
        <f t="shared" si="8"/>
        <v>1</v>
      </c>
      <c r="AD61" s="12" t="b">
        <f t="shared" si="9"/>
        <v>1</v>
      </c>
      <c r="AE61" s="12" t="b">
        <f t="shared" si="10"/>
        <v>1</v>
      </c>
      <c r="AF61" s="12" t="b">
        <f t="shared" si="11"/>
        <v>1</v>
      </c>
    </row>
    <row r="62" spans="1:32" s="12" customFormat="1" ht="15.75" customHeight="1">
      <c r="A62" s="285"/>
      <c r="B62" s="182" t="s">
        <v>608</v>
      </c>
      <c r="C62" s="36" t="s">
        <v>87</v>
      </c>
      <c r="D62" s="37" t="s">
        <v>98</v>
      </c>
      <c r="E62" s="57" t="s">
        <v>7</v>
      </c>
      <c r="F62" s="37" t="s">
        <v>605</v>
      </c>
      <c r="G62" s="37" t="s">
        <v>90</v>
      </c>
      <c r="H62" s="183">
        <f t="shared" si="36"/>
        <v>56.23</v>
      </c>
      <c r="I62" s="183">
        <f t="shared" si="36"/>
        <v>58.94</v>
      </c>
      <c r="J62" s="183">
        <f t="shared" si="36"/>
        <v>52.68</v>
      </c>
      <c r="K62" s="183">
        <v>56.23</v>
      </c>
      <c r="L62" s="183">
        <v>58.94</v>
      </c>
      <c r="M62" s="183">
        <v>52.68</v>
      </c>
      <c r="N62" s="183"/>
      <c r="O62" s="183">
        <v>56.23</v>
      </c>
      <c r="P62" s="183">
        <v>58.94</v>
      </c>
      <c r="Q62" s="183">
        <v>52.68</v>
      </c>
      <c r="R62" s="472">
        <f t="shared" si="1"/>
        <v>0</v>
      </c>
      <c r="S62" s="472">
        <f t="shared" si="2"/>
        <v>0</v>
      </c>
      <c r="T62" s="472">
        <f t="shared" si="3"/>
        <v>0</v>
      </c>
      <c r="U62" s="182" t="s">
        <v>608</v>
      </c>
      <c r="V62" s="36" t="s">
        <v>87</v>
      </c>
      <c r="W62" s="37" t="s">
        <v>98</v>
      </c>
      <c r="X62" s="57" t="s">
        <v>7</v>
      </c>
      <c r="Y62" s="37" t="s">
        <v>605</v>
      </c>
      <c r="Z62" s="37" t="s">
        <v>90</v>
      </c>
      <c r="AA62" s="12" t="b">
        <f t="shared" si="6"/>
        <v>1</v>
      </c>
      <c r="AB62" s="12" t="b">
        <f t="shared" si="7"/>
        <v>1</v>
      </c>
      <c r="AC62" s="12" t="b">
        <f t="shared" si="8"/>
        <v>1</v>
      </c>
      <c r="AD62" s="12" t="b">
        <f t="shared" si="9"/>
        <v>1</v>
      </c>
      <c r="AE62" s="12" t="b">
        <f t="shared" si="10"/>
        <v>1</v>
      </c>
      <c r="AF62" s="12" t="b">
        <f t="shared" si="11"/>
        <v>1</v>
      </c>
    </row>
    <row r="63" spans="1:32" s="12" customFormat="1" ht="15.75" customHeight="1">
      <c r="A63" s="285" t="s">
        <v>800</v>
      </c>
      <c r="B63" s="54" t="s">
        <v>764</v>
      </c>
      <c r="C63" s="56" t="s">
        <v>87</v>
      </c>
      <c r="D63" s="57" t="s">
        <v>98</v>
      </c>
      <c r="E63" s="57" t="s">
        <v>7</v>
      </c>
      <c r="F63" s="57" t="s">
        <v>606</v>
      </c>
      <c r="G63" s="57" t="s">
        <v>90</v>
      </c>
      <c r="H63" s="58">
        <f>H64</f>
        <v>56.23</v>
      </c>
      <c r="I63" s="58">
        <f t="shared" si="36"/>
        <v>58.94</v>
      </c>
      <c r="J63" s="58">
        <f t="shared" si="36"/>
        <v>52.68</v>
      </c>
      <c r="K63" s="58">
        <v>56.23</v>
      </c>
      <c r="L63" s="58">
        <v>58.94</v>
      </c>
      <c r="M63" s="58">
        <v>52.68</v>
      </c>
      <c r="N63" s="58"/>
      <c r="O63" s="58">
        <v>56.23</v>
      </c>
      <c r="P63" s="58">
        <v>58.94</v>
      </c>
      <c r="Q63" s="58">
        <v>52.68</v>
      </c>
      <c r="R63" s="472">
        <f t="shared" si="1"/>
        <v>0</v>
      </c>
      <c r="S63" s="472">
        <f t="shared" si="2"/>
        <v>0</v>
      </c>
      <c r="T63" s="472">
        <f t="shared" si="3"/>
        <v>0</v>
      </c>
      <c r="U63" s="54" t="s">
        <v>764</v>
      </c>
      <c r="V63" s="56" t="s">
        <v>87</v>
      </c>
      <c r="W63" s="57" t="s">
        <v>98</v>
      </c>
      <c r="X63" s="57" t="s">
        <v>7</v>
      </c>
      <c r="Y63" s="57" t="s">
        <v>606</v>
      </c>
      <c r="Z63" s="57" t="s">
        <v>90</v>
      </c>
      <c r="AA63" s="12" t="b">
        <f t="shared" si="6"/>
        <v>1</v>
      </c>
      <c r="AB63" s="12" t="b">
        <f t="shared" si="7"/>
        <v>1</v>
      </c>
      <c r="AC63" s="12" t="b">
        <f t="shared" si="8"/>
        <v>1</v>
      </c>
      <c r="AD63" s="12" t="b">
        <f t="shared" si="9"/>
        <v>1</v>
      </c>
      <c r="AE63" s="12" t="b">
        <f t="shared" si="10"/>
        <v>1</v>
      </c>
      <c r="AF63" s="12" t="b">
        <f t="shared" si="11"/>
        <v>1</v>
      </c>
    </row>
    <row r="64" spans="1:32" s="12" customFormat="1" ht="15.75" customHeight="1">
      <c r="A64" s="285"/>
      <c r="B64" s="182" t="s">
        <v>145</v>
      </c>
      <c r="C64" s="56" t="s">
        <v>87</v>
      </c>
      <c r="D64" s="57" t="s">
        <v>98</v>
      </c>
      <c r="E64" s="57" t="s">
        <v>7</v>
      </c>
      <c r="F64" s="57" t="s">
        <v>606</v>
      </c>
      <c r="G64" s="57" t="s">
        <v>153</v>
      </c>
      <c r="H64" s="58">
        <v>56.23</v>
      </c>
      <c r="I64" s="58">
        <v>58.94</v>
      </c>
      <c r="J64" s="58">
        <v>52.68</v>
      </c>
      <c r="K64" s="58"/>
      <c r="L64" s="58"/>
      <c r="M64" s="58"/>
      <c r="N64" s="58"/>
      <c r="O64" s="58"/>
      <c r="P64" s="58"/>
      <c r="Q64" s="58"/>
      <c r="R64" s="472"/>
      <c r="S64" s="472"/>
      <c r="T64" s="472"/>
      <c r="U64" s="54"/>
      <c r="V64" s="56"/>
      <c r="W64" s="57"/>
      <c r="X64" s="57"/>
      <c r="Y64" s="57"/>
      <c r="Z64" s="57"/>
    </row>
    <row r="65" spans="1:32" s="12" customFormat="1" ht="15.75" customHeight="1">
      <c r="A65" s="285"/>
      <c r="B65" s="32" t="s">
        <v>70</v>
      </c>
      <c r="C65" s="33" t="s">
        <v>87</v>
      </c>
      <c r="D65" s="34" t="s">
        <v>98</v>
      </c>
      <c r="E65" s="34" t="s">
        <v>124</v>
      </c>
      <c r="F65" s="34" t="s">
        <v>223</v>
      </c>
      <c r="G65" s="34" t="s">
        <v>90</v>
      </c>
      <c r="H65" s="35">
        <f>H66+H73+H78+H86+H109+H114+H120</f>
        <v>98164.9</v>
      </c>
      <c r="I65" s="35">
        <f t="shared" ref="I65:J65" si="37">I66+I73+I78+I86+I109+I114+I120</f>
        <v>84671.25</v>
      </c>
      <c r="J65" s="35">
        <f t="shared" si="37"/>
        <v>84970.8</v>
      </c>
      <c r="K65" s="58"/>
      <c r="L65" s="58"/>
      <c r="M65" s="58"/>
      <c r="N65" s="58"/>
      <c r="O65" s="58"/>
      <c r="P65" s="58"/>
      <c r="Q65" s="58"/>
      <c r="R65" s="472"/>
      <c r="S65" s="472"/>
      <c r="T65" s="472"/>
      <c r="U65" s="54"/>
      <c r="V65" s="56"/>
      <c r="W65" s="57"/>
      <c r="X65" s="57"/>
      <c r="Y65" s="57"/>
      <c r="Z65" s="57"/>
    </row>
    <row r="66" spans="1:32" s="12" customFormat="1" ht="15.75" customHeight="1">
      <c r="A66" s="285"/>
      <c r="B66" s="182" t="s">
        <v>664</v>
      </c>
      <c r="C66" s="36" t="s">
        <v>87</v>
      </c>
      <c r="D66" s="37" t="s">
        <v>98</v>
      </c>
      <c r="E66" s="37" t="s">
        <v>124</v>
      </c>
      <c r="F66" s="37" t="s">
        <v>241</v>
      </c>
      <c r="G66" s="37" t="s">
        <v>90</v>
      </c>
      <c r="H66" s="183">
        <f>H67</f>
        <v>2613.77</v>
      </c>
      <c r="I66" s="183">
        <f t="shared" ref="I66:J67" si="38">I67</f>
        <v>2613.77</v>
      </c>
      <c r="J66" s="183">
        <f t="shared" si="38"/>
        <v>2613.77</v>
      </c>
      <c r="K66" s="58"/>
      <c r="L66" s="58"/>
      <c r="M66" s="58"/>
      <c r="N66" s="58"/>
      <c r="O66" s="58"/>
      <c r="P66" s="58"/>
      <c r="Q66" s="58"/>
      <c r="R66" s="472"/>
      <c r="S66" s="472"/>
      <c r="T66" s="472"/>
      <c r="U66" s="54"/>
      <c r="V66" s="56"/>
      <c r="W66" s="57"/>
      <c r="X66" s="57"/>
      <c r="Y66" s="57"/>
      <c r="Z66" s="57"/>
    </row>
    <row r="67" spans="1:32" s="12" customFormat="1" ht="15.75" customHeight="1">
      <c r="A67" s="285"/>
      <c r="B67" s="182" t="s">
        <v>675</v>
      </c>
      <c r="C67" s="36" t="s">
        <v>87</v>
      </c>
      <c r="D67" s="37" t="s">
        <v>98</v>
      </c>
      <c r="E67" s="37" t="s">
        <v>124</v>
      </c>
      <c r="F67" s="37" t="s">
        <v>242</v>
      </c>
      <c r="G67" s="37" t="s">
        <v>90</v>
      </c>
      <c r="H67" s="183">
        <f>H68</f>
        <v>2613.77</v>
      </c>
      <c r="I67" s="183">
        <f t="shared" si="38"/>
        <v>2613.77</v>
      </c>
      <c r="J67" s="183">
        <f t="shared" si="38"/>
        <v>2613.77</v>
      </c>
      <c r="K67" s="58"/>
      <c r="L67" s="58"/>
      <c r="M67" s="58"/>
      <c r="N67" s="58"/>
      <c r="O67" s="58"/>
      <c r="P67" s="58"/>
      <c r="Q67" s="58"/>
      <c r="R67" s="472"/>
      <c r="S67" s="472"/>
      <c r="T67" s="472"/>
      <c r="U67" s="54"/>
      <c r="V67" s="56"/>
      <c r="W67" s="57"/>
      <c r="X67" s="57"/>
      <c r="Y67" s="57"/>
      <c r="Z67" s="57"/>
    </row>
    <row r="68" spans="1:32" s="12" customFormat="1" ht="15.75" customHeight="1">
      <c r="A68" s="285"/>
      <c r="B68" s="54" t="s">
        <v>732</v>
      </c>
      <c r="C68" s="36" t="s">
        <v>87</v>
      </c>
      <c r="D68" s="37" t="s">
        <v>98</v>
      </c>
      <c r="E68" s="37" t="s">
        <v>124</v>
      </c>
      <c r="F68" s="37" t="s">
        <v>243</v>
      </c>
      <c r="G68" s="37" t="s">
        <v>90</v>
      </c>
      <c r="H68" s="183">
        <f>H69+H71</f>
        <v>2613.77</v>
      </c>
      <c r="I68" s="183">
        <f>I69+I71</f>
        <v>2613.77</v>
      </c>
      <c r="J68" s="183">
        <f>J69+J71</f>
        <v>2613.77</v>
      </c>
      <c r="K68" s="183">
        <v>2613.77</v>
      </c>
      <c r="L68" s="183">
        <v>2613.77</v>
      </c>
      <c r="M68" s="183">
        <v>2613.77</v>
      </c>
      <c r="N68" s="183"/>
      <c r="O68" s="183">
        <v>2613.77</v>
      </c>
      <c r="P68" s="183">
        <v>2613.77</v>
      </c>
      <c r="Q68" s="183">
        <v>2613.77</v>
      </c>
      <c r="R68" s="472">
        <f t="shared" si="1"/>
        <v>0</v>
      </c>
      <c r="S68" s="472">
        <f t="shared" si="2"/>
        <v>0</v>
      </c>
      <c r="T68" s="472">
        <f t="shared" si="3"/>
        <v>0</v>
      </c>
      <c r="U68" s="54" t="s">
        <v>732</v>
      </c>
      <c r="V68" s="36" t="s">
        <v>87</v>
      </c>
      <c r="W68" s="37" t="s">
        <v>98</v>
      </c>
      <c r="X68" s="37" t="s">
        <v>124</v>
      </c>
      <c r="Y68" s="37" t="s">
        <v>243</v>
      </c>
      <c r="Z68" s="37" t="s">
        <v>90</v>
      </c>
      <c r="AA68" s="12" t="b">
        <f t="shared" si="6"/>
        <v>1</v>
      </c>
      <c r="AB68" s="12" t="b">
        <f t="shared" si="7"/>
        <v>1</v>
      </c>
      <c r="AC68" s="12" t="b">
        <f t="shared" si="8"/>
        <v>1</v>
      </c>
      <c r="AD68" s="12" t="b">
        <f t="shared" si="9"/>
        <v>1</v>
      </c>
      <c r="AE68" s="12" t="b">
        <f t="shared" si="10"/>
        <v>1</v>
      </c>
      <c r="AF68" s="12" t="b">
        <f t="shared" si="11"/>
        <v>1</v>
      </c>
    </row>
    <row r="69" spans="1:32" s="12" customFormat="1" ht="15.75" customHeight="1">
      <c r="A69" s="285"/>
      <c r="B69" s="54" t="s">
        <v>731</v>
      </c>
      <c r="C69" s="36" t="s">
        <v>87</v>
      </c>
      <c r="D69" s="37" t="s">
        <v>98</v>
      </c>
      <c r="E69" s="37" t="s">
        <v>124</v>
      </c>
      <c r="F69" s="37" t="s">
        <v>244</v>
      </c>
      <c r="G69" s="37" t="s">
        <v>90</v>
      </c>
      <c r="H69" s="183">
        <f>H70</f>
        <v>1823.77</v>
      </c>
      <c r="I69" s="183">
        <f>I70</f>
        <v>1823.77</v>
      </c>
      <c r="J69" s="183">
        <f>J70</f>
        <v>1823.77</v>
      </c>
      <c r="K69" s="183">
        <v>1823.77</v>
      </c>
      <c r="L69" s="183">
        <v>1823.77</v>
      </c>
      <c r="M69" s="183">
        <v>1823.77</v>
      </c>
      <c r="N69" s="183"/>
      <c r="O69" s="183">
        <v>1823.77</v>
      </c>
      <c r="P69" s="183">
        <v>1823.77</v>
      </c>
      <c r="Q69" s="183">
        <v>1823.77</v>
      </c>
      <c r="R69" s="472">
        <f t="shared" ref="R69:R129" si="39">H69-O69</f>
        <v>0</v>
      </c>
      <c r="S69" s="472">
        <f t="shared" ref="S69:S129" si="40">I69-P69</f>
        <v>0</v>
      </c>
      <c r="T69" s="472">
        <f t="shared" ref="T69:T129" si="41">J69-Q69</f>
        <v>0</v>
      </c>
      <c r="U69" s="54" t="s">
        <v>731</v>
      </c>
      <c r="V69" s="36" t="s">
        <v>87</v>
      </c>
      <c r="W69" s="37" t="s">
        <v>98</v>
      </c>
      <c r="X69" s="37" t="s">
        <v>124</v>
      </c>
      <c r="Y69" s="37" t="s">
        <v>244</v>
      </c>
      <c r="Z69" s="37" t="s">
        <v>90</v>
      </c>
      <c r="AA69" s="12" t="b">
        <f t="shared" si="6"/>
        <v>1</v>
      </c>
      <c r="AB69" s="12" t="b">
        <f t="shared" si="7"/>
        <v>1</v>
      </c>
      <c r="AC69" s="12" t="b">
        <f t="shared" si="8"/>
        <v>1</v>
      </c>
      <c r="AD69" s="12" t="b">
        <f t="shared" si="9"/>
        <v>1</v>
      </c>
      <c r="AE69" s="12" t="b">
        <f t="shared" si="10"/>
        <v>1</v>
      </c>
      <c r="AF69" s="12" t="b">
        <f t="shared" si="11"/>
        <v>1</v>
      </c>
    </row>
    <row r="70" spans="1:32" s="12" customFormat="1" ht="15.75" customHeight="1">
      <c r="A70" s="285"/>
      <c r="B70" s="182" t="s">
        <v>137</v>
      </c>
      <c r="C70" s="36" t="s">
        <v>87</v>
      </c>
      <c r="D70" s="37" t="s">
        <v>98</v>
      </c>
      <c r="E70" s="37" t="s">
        <v>124</v>
      </c>
      <c r="F70" s="37" t="s">
        <v>244</v>
      </c>
      <c r="G70" s="37" t="s">
        <v>155</v>
      </c>
      <c r="H70" s="183">
        <f>1455.24+368.53</f>
        <v>1823.77</v>
      </c>
      <c r="I70" s="183">
        <f>1455.24+368.53</f>
        <v>1823.77</v>
      </c>
      <c r="J70" s="183">
        <f>1455.24+368.53</f>
        <v>1823.77</v>
      </c>
      <c r="K70" s="183">
        <v>1823.77</v>
      </c>
      <c r="L70" s="183">
        <v>1823.77</v>
      </c>
      <c r="M70" s="183">
        <v>1823.77</v>
      </c>
      <c r="N70" s="183"/>
      <c r="O70" s="183">
        <v>1823.77</v>
      </c>
      <c r="P70" s="183">
        <v>1823.77</v>
      </c>
      <c r="Q70" s="183">
        <v>1823.77</v>
      </c>
      <c r="R70" s="472">
        <f t="shared" si="39"/>
        <v>0</v>
      </c>
      <c r="S70" s="472">
        <f t="shared" si="40"/>
        <v>0</v>
      </c>
      <c r="T70" s="472">
        <f t="shared" si="41"/>
        <v>0</v>
      </c>
      <c r="U70" s="182" t="s">
        <v>137</v>
      </c>
      <c r="V70" s="36" t="s">
        <v>87</v>
      </c>
      <c r="W70" s="37" t="s">
        <v>98</v>
      </c>
      <c r="X70" s="37" t="s">
        <v>124</v>
      </c>
      <c r="Y70" s="37" t="s">
        <v>244</v>
      </c>
      <c r="Z70" s="37" t="s">
        <v>155</v>
      </c>
      <c r="AA70" s="12" t="b">
        <f t="shared" ref="AA70:AA130" si="42">B70=U70</f>
        <v>1</v>
      </c>
      <c r="AB70" s="12" t="b">
        <f t="shared" ref="AB70:AB130" si="43">C70=V70</f>
        <v>1</v>
      </c>
      <c r="AC70" s="12" t="b">
        <f t="shared" ref="AC70:AC130" si="44">D70=W70</f>
        <v>1</v>
      </c>
      <c r="AD70" s="12" t="b">
        <f t="shared" ref="AD70:AD130" si="45">E70=X70</f>
        <v>1</v>
      </c>
      <c r="AE70" s="12" t="b">
        <f t="shared" ref="AE70:AE130" si="46">F70=Y70</f>
        <v>1</v>
      </c>
      <c r="AF70" s="12" t="b">
        <f t="shared" ref="AF70:AF130" si="47">G70=Z70</f>
        <v>1</v>
      </c>
    </row>
    <row r="71" spans="1:32" s="12" customFormat="1" ht="15.75" customHeight="1">
      <c r="A71" s="285"/>
      <c r="B71" s="54" t="s">
        <v>733</v>
      </c>
      <c r="C71" s="36" t="s">
        <v>87</v>
      </c>
      <c r="D71" s="37" t="s">
        <v>98</v>
      </c>
      <c r="E71" s="37" t="s">
        <v>124</v>
      </c>
      <c r="F71" s="37" t="s">
        <v>245</v>
      </c>
      <c r="G71" s="37" t="s">
        <v>90</v>
      </c>
      <c r="H71" s="183">
        <f>H72</f>
        <v>790</v>
      </c>
      <c r="I71" s="183">
        <f>I72</f>
        <v>790</v>
      </c>
      <c r="J71" s="183">
        <f>J72</f>
        <v>790</v>
      </c>
      <c r="K71" s="183">
        <v>790</v>
      </c>
      <c r="L71" s="183">
        <v>790</v>
      </c>
      <c r="M71" s="183">
        <v>790</v>
      </c>
      <c r="N71" s="183"/>
      <c r="O71" s="183">
        <v>790</v>
      </c>
      <c r="P71" s="183">
        <v>790</v>
      </c>
      <c r="Q71" s="183">
        <v>790</v>
      </c>
      <c r="R71" s="472">
        <f t="shared" si="39"/>
        <v>0</v>
      </c>
      <c r="S71" s="472">
        <f t="shared" si="40"/>
        <v>0</v>
      </c>
      <c r="T71" s="472">
        <f t="shared" si="41"/>
        <v>0</v>
      </c>
      <c r="U71" s="54" t="s">
        <v>733</v>
      </c>
      <c r="V71" s="36" t="s">
        <v>87</v>
      </c>
      <c r="W71" s="37" t="s">
        <v>98</v>
      </c>
      <c r="X71" s="37" t="s">
        <v>124</v>
      </c>
      <c r="Y71" s="37" t="s">
        <v>245</v>
      </c>
      <c r="Z71" s="37" t="s">
        <v>90</v>
      </c>
      <c r="AA71" s="12" t="b">
        <f t="shared" si="42"/>
        <v>1</v>
      </c>
      <c r="AB71" s="12" t="b">
        <f t="shared" si="43"/>
        <v>1</v>
      </c>
      <c r="AC71" s="12" t="b">
        <f t="shared" si="44"/>
        <v>1</v>
      </c>
      <c r="AD71" s="12" t="b">
        <f t="shared" si="45"/>
        <v>1</v>
      </c>
      <c r="AE71" s="12" t="b">
        <f t="shared" si="46"/>
        <v>1</v>
      </c>
      <c r="AF71" s="12" t="b">
        <f t="shared" si="47"/>
        <v>1</v>
      </c>
    </row>
    <row r="72" spans="1:32" s="12" customFormat="1" ht="15.75" customHeight="1">
      <c r="A72" s="285"/>
      <c r="B72" s="182" t="s">
        <v>145</v>
      </c>
      <c r="C72" s="36" t="s">
        <v>87</v>
      </c>
      <c r="D72" s="37" t="s">
        <v>98</v>
      </c>
      <c r="E72" s="37" t="s">
        <v>124</v>
      </c>
      <c r="F72" s="37" t="s">
        <v>245</v>
      </c>
      <c r="G72" s="37" t="s">
        <v>153</v>
      </c>
      <c r="H72" s="183">
        <v>790</v>
      </c>
      <c r="I72" s="183">
        <v>790</v>
      </c>
      <c r="J72" s="183">
        <v>790</v>
      </c>
      <c r="K72" s="183">
        <v>790</v>
      </c>
      <c r="L72" s="183">
        <v>790</v>
      </c>
      <c r="M72" s="183">
        <v>790</v>
      </c>
      <c r="N72" s="183"/>
      <c r="O72" s="183">
        <v>790</v>
      </c>
      <c r="P72" s="183">
        <v>790</v>
      </c>
      <c r="Q72" s="183">
        <v>790</v>
      </c>
      <c r="R72" s="472">
        <f t="shared" si="39"/>
        <v>0</v>
      </c>
      <c r="S72" s="472">
        <f t="shared" si="40"/>
        <v>0</v>
      </c>
      <c r="T72" s="472">
        <f t="shared" si="41"/>
        <v>0</v>
      </c>
      <c r="U72" s="182" t="s">
        <v>145</v>
      </c>
      <c r="V72" s="36" t="s">
        <v>87</v>
      </c>
      <c r="W72" s="37" t="s">
        <v>98</v>
      </c>
      <c r="X72" s="37" t="s">
        <v>124</v>
      </c>
      <c r="Y72" s="37" t="s">
        <v>245</v>
      </c>
      <c r="Z72" s="37" t="s">
        <v>153</v>
      </c>
      <c r="AA72" s="12" t="b">
        <f t="shared" si="42"/>
        <v>1</v>
      </c>
      <c r="AB72" s="12" t="b">
        <f t="shared" si="43"/>
        <v>1</v>
      </c>
      <c r="AC72" s="12" t="b">
        <f t="shared" si="44"/>
        <v>1</v>
      </c>
      <c r="AD72" s="12" t="b">
        <f t="shared" si="45"/>
        <v>1</v>
      </c>
      <c r="AE72" s="12" t="b">
        <f t="shared" si="46"/>
        <v>1</v>
      </c>
      <c r="AF72" s="12" t="b">
        <f t="shared" si="47"/>
        <v>1</v>
      </c>
    </row>
    <row r="73" spans="1:32" s="12" customFormat="1" ht="15.75" customHeight="1">
      <c r="A73" s="285"/>
      <c r="B73" s="182" t="s">
        <v>1167</v>
      </c>
      <c r="C73" s="36" t="s">
        <v>87</v>
      </c>
      <c r="D73" s="37" t="s">
        <v>98</v>
      </c>
      <c r="E73" s="37" t="s">
        <v>124</v>
      </c>
      <c r="F73" s="37" t="s">
        <v>246</v>
      </c>
      <c r="G73" s="37" t="s">
        <v>90</v>
      </c>
      <c r="H73" s="183">
        <f t="shared" ref="H73:J74" si="48">H74</f>
        <v>100</v>
      </c>
      <c r="I73" s="183">
        <f t="shared" si="48"/>
        <v>100</v>
      </c>
      <c r="J73" s="183">
        <f t="shared" si="48"/>
        <v>100</v>
      </c>
      <c r="K73" s="183">
        <v>100</v>
      </c>
      <c r="L73" s="183">
        <v>100</v>
      </c>
      <c r="M73" s="183">
        <v>100</v>
      </c>
      <c r="N73" s="183"/>
      <c r="O73" s="183">
        <v>100</v>
      </c>
      <c r="P73" s="183">
        <v>100</v>
      </c>
      <c r="Q73" s="183">
        <v>100</v>
      </c>
      <c r="R73" s="472">
        <f t="shared" si="39"/>
        <v>0</v>
      </c>
      <c r="S73" s="472">
        <f t="shared" si="40"/>
        <v>0</v>
      </c>
      <c r="T73" s="472">
        <f t="shared" si="41"/>
        <v>0</v>
      </c>
      <c r="U73" s="182" t="s">
        <v>1167</v>
      </c>
      <c r="V73" s="36" t="s">
        <v>87</v>
      </c>
      <c r="W73" s="37" t="s">
        <v>98</v>
      </c>
      <c r="X73" s="37" t="s">
        <v>124</v>
      </c>
      <c r="Y73" s="37" t="s">
        <v>246</v>
      </c>
      <c r="Z73" s="37" t="s">
        <v>90</v>
      </c>
      <c r="AA73" s="12" t="b">
        <f t="shared" si="42"/>
        <v>1</v>
      </c>
      <c r="AB73" s="12" t="b">
        <f t="shared" si="43"/>
        <v>1</v>
      </c>
      <c r="AC73" s="12" t="b">
        <f t="shared" si="44"/>
        <v>1</v>
      </c>
      <c r="AD73" s="12" t="b">
        <f t="shared" si="45"/>
        <v>1</v>
      </c>
      <c r="AE73" s="12" t="b">
        <f t="shared" si="46"/>
        <v>1</v>
      </c>
      <c r="AF73" s="12" t="b">
        <f t="shared" si="47"/>
        <v>1</v>
      </c>
    </row>
    <row r="74" spans="1:32" s="12" customFormat="1" ht="15.75" customHeight="1">
      <c r="A74" s="285"/>
      <c r="B74" s="182" t="s">
        <v>1202</v>
      </c>
      <c r="C74" s="36" t="s">
        <v>87</v>
      </c>
      <c r="D74" s="37" t="s">
        <v>98</v>
      </c>
      <c r="E74" s="37" t="s">
        <v>124</v>
      </c>
      <c r="F74" s="230" t="s">
        <v>934</v>
      </c>
      <c r="G74" s="230" t="s">
        <v>90</v>
      </c>
      <c r="H74" s="252">
        <f t="shared" si="48"/>
        <v>100</v>
      </c>
      <c r="I74" s="252">
        <f t="shared" si="48"/>
        <v>100</v>
      </c>
      <c r="J74" s="252">
        <f t="shared" si="48"/>
        <v>100</v>
      </c>
      <c r="K74" s="252">
        <v>100</v>
      </c>
      <c r="L74" s="252">
        <v>100</v>
      </c>
      <c r="M74" s="252">
        <v>100</v>
      </c>
      <c r="N74" s="252"/>
      <c r="O74" s="252">
        <v>100</v>
      </c>
      <c r="P74" s="252">
        <v>100</v>
      </c>
      <c r="Q74" s="252">
        <v>100</v>
      </c>
      <c r="R74" s="472">
        <f t="shared" si="39"/>
        <v>0</v>
      </c>
      <c r="S74" s="472">
        <f t="shared" si="40"/>
        <v>0</v>
      </c>
      <c r="T74" s="472">
        <f t="shared" si="41"/>
        <v>0</v>
      </c>
      <c r="U74" s="182" t="s">
        <v>1202</v>
      </c>
      <c r="V74" s="36" t="s">
        <v>87</v>
      </c>
      <c r="W74" s="37" t="s">
        <v>98</v>
      </c>
      <c r="X74" s="37" t="s">
        <v>124</v>
      </c>
      <c r="Y74" s="230" t="s">
        <v>934</v>
      </c>
      <c r="Z74" s="230" t="s">
        <v>90</v>
      </c>
      <c r="AA74" s="12" t="b">
        <f t="shared" si="42"/>
        <v>1</v>
      </c>
      <c r="AB74" s="12" t="b">
        <f t="shared" si="43"/>
        <v>1</v>
      </c>
      <c r="AC74" s="12" t="b">
        <f t="shared" si="44"/>
        <v>1</v>
      </c>
      <c r="AD74" s="12" t="b">
        <f t="shared" si="45"/>
        <v>1</v>
      </c>
      <c r="AE74" s="12" t="b">
        <f t="shared" si="46"/>
        <v>1</v>
      </c>
      <c r="AF74" s="12" t="b">
        <f t="shared" si="47"/>
        <v>1</v>
      </c>
    </row>
    <row r="75" spans="1:32" s="12" customFormat="1" ht="15.75" customHeight="1">
      <c r="A75" s="285"/>
      <c r="B75" s="182" t="s">
        <v>940</v>
      </c>
      <c r="C75" s="36" t="s">
        <v>87</v>
      </c>
      <c r="D75" s="37" t="s">
        <v>98</v>
      </c>
      <c r="E75" s="37" t="s">
        <v>124</v>
      </c>
      <c r="F75" s="230" t="s">
        <v>937</v>
      </c>
      <c r="G75" s="37" t="s">
        <v>90</v>
      </c>
      <c r="H75" s="183">
        <f t="shared" ref="H75:J76" si="49">H76</f>
        <v>100</v>
      </c>
      <c r="I75" s="183">
        <f t="shared" si="49"/>
        <v>100</v>
      </c>
      <c r="J75" s="183">
        <f t="shared" si="49"/>
        <v>100</v>
      </c>
      <c r="K75" s="183">
        <v>100</v>
      </c>
      <c r="L75" s="183">
        <v>100</v>
      </c>
      <c r="M75" s="183">
        <v>100</v>
      </c>
      <c r="N75" s="183"/>
      <c r="O75" s="183">
        <v>100</v>
      </c>
      <c r="P75" s="183">
        <v>100</v>
      </c>
      <c r="Q75" s="183">
        <v>100</v>
      </c>
      <c r="R75" s="472">
        <f t="shared" si="39"/>
        <v>0</v>
      </c>
      <c r="S75" s="472">
        <f t="shared" si="40"/>
        <v>0</v>
      </c>
      <c r="T75" s="472">
        <f t="shared" si="41"/>
        <v>0</v>
      </c>
      <c r="U75" s="182" t="s">
        <v>940</v>
      </c>
      <c r="V75" s="36" t="s">
        <v>87</v>
      </c>
      <c r="W75" s="37" t="s">
        <v>98</v>
      </c>
      <c r="X75" s="37" t="s">
        <v>124</v>
      </c>
      <c r="Y75" s="230" t="s">
        <v>937</v>
      </c>
      <c r="Z75" s="37" t="s">
        <v>90</v>
      </c>
      <c r="AA75" s="12" t="b">
        <f t="shared" si="42"/>
        <v>1</v>
      </c>
      <c r="AB75" s="12" t="b">
        <f t="shared" si="43"/>
        <v>1</v>
      </c>
      <c r="AC75" s="12" t="b">
        <f t="shared" si="44"/>
        <v>1</v>
      </c>
      <c r="AD75" s="12" t="b">
        <f t="shared" si="45"/>
        <v>1</v>
      </c>
      <c r="AE75" s="12" t="b">
        <f t="shared" si="46"/>
        <v>1</v>
      </c>
      <c r="AF75" s="12" t="b">
        <f t="shared" si="47"/>
        <v>1</v>
      </c>
    </row>
    <row r="76" spans="1:32" s="12" customFormat="1" ht="15.75" customHeight="1">
      <c r="A76" s="285"/>
      <c r="B76" s="182" t="s">
        <v>196</v>
      </c>
      <c r="C76" s="36" t="s">
        <v>87</v>
      </c>
      <c r="D76" s="37" t="s">
        <v>98</v>
      </c>
      <c r="E76" s="37" t="s">
        <v>124</v>
      </c>
      <c r="F76" s="230" t="s">
        <v>938</v>
      </c>
      <c r="G76" s="37" t="s">
        <v>90</v>
      </c>
      <c r="H76" s="183">
        <f t="shared" si="49"/>
        <v>100</v>
      </c>
      <c r="I76" s="183">
        <f t="shared" si="49"/>
        <v>100</v>
      </c>
      <c r="J76" s="183">
        <f t="shared" si="49"/>
        <v>100</v>
      </c>
      <c r="K76" s="183">
        <v>100</v>
      </c>
      <c r="L76" s="183">
        <v>100</v>
      </c>
      <c r="M76" s="183">
        <v>100</v>
      </c>
      <c r="N76" s="183"/>
      <c r="O76" s="183">
        <v>100</v>
      </c>
      <c r="P76" s="183">
        <v>100</v>
      </c>
      <c r="Q76" s="183">
        <v>100</v>
      </c>
      <c r="R76" s="472">
        <f t="shared" si="39"/>
        <v>0</v>
      </c>
      <c r="S76" s="472">
        <f t="shared" si="40"/>
        <v>0</v>
      </c>
      <c r="T76" s="472">
        <f t="shared" si="41"/>
        <v>0</v>
      </c>
      <c r="U76" s="182" t="s">
        <v>196</v>
      </c>
      <c r="V76" s="36" t="s">
        <v>87</v>
      </c>
      <c r="W76" s="37" t="s">
        <v>98</v>
      </c>
      <c r="X76" s="37" t="s">
        <v>124</v>
      </c>
      <c r="Y76" s="230" t="s">
        <v>938</v>
      </c>
      <c r="Z76" s="37" t="s">
        <v>90</v>
      </c>
      <c r="AA76" s="12" t="b">
        <f t="shared" si="42"/>
        <v>1</v>
      </c>
      <c r="AB76" s="12" t="b">
        <f t="shared" si="43"/>
        <v>1</v>
      </c>
      <c r="AC76" s="12" t="b">
        <f t="shared" si="44"/>
        <v>1</v>
      </c>
      <c r="AD76" s="12" t="b">
        <f t="shared" si="45"/>
        <v>1</v>
      </c>
      <c r="AE76" s="12" t="b">
        <f t="shared" si="46"/>
        <v>1</v>
      </c>
      <c r="AF76" s="12" t="b">
        <f t="shared" si="47"/>
        <v>1</v>
      </c>
    </row>
    <row r="77" spans="1:32" s="12" customFormat="1" ht="15.75" customHeight="1">
      <c r="A77" s="285"/>
      <c r="B77" s="54" t="s">
        <v>145</v>
      </c>
      <c r="C77" s="56" t="s">
        <v>87</v>
      </c>
      <c r="D77" s="57" t="s">
        <v>98</v>
      </c>
      <c r="E77" s="57" t="s">
        <v>124</v>
      </c>
      <c r="F77" s="463" t="s">
        <v>938</v>
      </c>
      <c r="G77" s="57" t="s">
        <v>153</v>
      </c>
      <c r="H77" s="58">
        <v>100</v>
      </c>
      <c r="I77" s="58">
        <v>100</v>
      </c>
      <c r="J77" s="58">
        <v>100</v>
      </c>
      <c r="K77" s="58">
        <v>100</v>
      </c>
      <c r="L77" s="58">
        <v>100</v>
      </c>
      <c r="M77" s="58">
        <v>100</v>
      </c>
      <c r="N77" s="58"/>
      <c r="O77" s="58">
        <v>100</v>
      </c>
      <c r="P77" s="58">
        <v>100</v>
      </c>
      <c r="Q77" s="58">
        <v>100</v>
      </c>
      <c r="R77" s="472">
        <f t="shared" si="39"/>
        <v>0</v>
      </c>
      <c r="S77" s="472">
        <f t="shared" si="40"/>
        <v>0</v>
      </c>
      <c r="T77" s="472">
        <f t="shared" si="41"/>
        <v>0</v>
      </c>
      <c r="U77" s="54" t="s">
        <v>145</v>
      </c>
      <c r="V77" s="56" t="s">
        <v>87</v>
      </c>
      <c r="W77" s="57" t="s">
        <v>98</v>
      </c>
      <c r="X77" s="57" t="s">
        <v>124</v>
      </c>
      <c r="Y77" s="463" t="s">
        <v>938</v>
      </c>
      <c r="Z77" s="57" t="s">
        <v>153</v>
      </c>
      <c r="AA77" s="12" t="b">
        <f t="shared" si="42"/>
        <v>1</v>
      </c>
      <c r="AB77" s="12" t="b">
        <f t="shared" si="43"/>
        <v>1</v>
      </c>
      <c r="AC77" s="12" t="b">
        <f t="shared" si="44"/>
        <v>1</v>
      </c>
      <c r="AD77" s="12" t="b">
        <f t="shared" si="45"/>
        <v>1</v>
      </c>
      <c r="AE77" s="12" t="b">
        <f t="shared" si="46"/>
        <v>1</v>
      </c>
      <c r="AF77" s="12" t="b">
        <f t="shared" si="47"/>
        <v>1</v>
      </c>
    </row>
    <row r="78" spans="1:32" s="12" customFormat="1" ht="15.75" customHeight="1">
      <c r="A78" s="285"/>
      <c r="B78" s="54" t="s">
        <v>1168</v>
      </c>
      <c r="C78" s="36" t="s">
        <v>87</v>
      </c>
      <c r="D78" s="37" t="s">
        <v>98</v>
      </c>
      <c r="E78" s="37" t="s">
        <v>124</v>
      </c>
      <c r="F78" s="37" t="s">
        <v>247</v>
      </c>
      <c r="G78" s="37" t="s">
        <v>90</v>
      </c>
      <c r="H78" s="183">
        <f>H79</f>
        <v>35321.49</v>
      </c>
      <c r="I78" s="183">
        <f>I79</f>
        <v>21539.81</v>
      </c>
      <c r="J78" s="183">
        <f>J79</f>
        <v>21539.81</v>
      </c>
      <c r="K78" s="183">
        <v>35321.49</v>
      </c>
      <c r="L78" s="183">
        <v>21539.81</v>
      </c>
      <c r="M78" s="183">
        <v>21539.81</v>
      </c>
      <c r="N78" s="183"/>
      <c r="O78" s="183">
        <v>35321.49</v>
      </c>
      <c r="P78" s="183">
        <v>21539.81</v>
      </c>
      <c r="Q78" s="183">
        <v>21539.81</v>
      </c>
      <c r="R78" s="472">
        <f t="shared" si="39"/>
        <v>0</v>
      </c>
      <c r="S78" s="472">
        <f t="shared" si="40"/>
        <v>0</v>
      </c>
      <c r="T78" s="472">
        <f t="shared" si="41"/>
        <v>0</v>
      </c>
      <c r="U78" s="54" t="s">
        <v>1168</v>
      </c>
      <c r="V78" s="36" t="s">
        <v>87</v>
      </c>
      <c r="W78" s="37" t="s">
        <v>98</v>
      </c>
      <c r="X78" s="37" t="s">
        <v>124</v>
      </c>
      <c r="Y78" s="37" t="s">
        <v>247</v>
      </c>
      <c r="Z78" s="37" t="s">
        <v>90</v>
      </c>
      <c r="AA78" s="12" t="b">
        <f t="shared" si="42"/>
        <v>1</v>
      </c>
      <c r="AB78" s="12" t="b">
        <f t="shared" si="43"/>
        <v>1</v>
      </c>
      <c r="AC78" s="12" t="b">
        <f t="shared" si="44"/>
        <v>1</v>
      </c>
      <c r="AD78" s="12" t="b">
        <f t="shared" si="45"/>
        <v>1</v>
      </c>
      <c r="AE78" s="12" t="b">
        <f t="shared" si="46"/>
        <v>1</v>
      </c>
      <c r="AF78" s="12" t="b">
        <f t="shared" si="47"/>
        <v>1</v>
      </c>
    </row>
    <row r="79" spans="1:32" s="12" customFormat="1" ht="15.75" customHeight="1">
      <c r="A79" s="285"/>
      <c r="B79" s="182" t="s">
        <v>1203</v>
      </c>
      <c r="C79" s="36" t="s">
        <v>87</v>
      </c>
      <c r="D79" s="37" t="s">
        <v>98</v>
      </c>
      <c r="E79" s="37" t="s">
        <v>124</v>
      </c>
      <c r="F79" s="37" t="s">
        <v>1204</v>
      </c>
      <c r="G79" s="37" t="s">
        <v>90</v>
      </c>
      <c r="H79" s="183">
        <f>H80+H83</f>
        <v>35321.49</v>
      </c>
      <c r="I79" s="183">
        <f>I80+I83</f>
        <v>21539.81</v>
      </c>
      <c r="J79" s="183">
        <f>J80+J83</f>
        <v>21539.81</v>
      </c>
      <c r="K79" s="183">
        <v>35321.49</v>
      </c>
      <c r="L79" s="183">
        <v>21539.81</v>
      </c>
      <c r="M79" s="183">
        <v>21539.81</v>
      </c>
      <c r="N79" s="183"/>
      <c r="O79" s="183">
        <v>35321.49</v>
      </c>
      <c r="P79" s="183">
        <v>21539.81</v>
      </c>
      <c r="Q79" s="183">
        <v>21539.81</v>
      </c>
      <c r="R79" s="472">
        <f t="shared" si="39"/>
        <v>0</v>
      </c>
      <c r="S79" s="472">
        <f t="shared" si="40"/>
        <v>0</v>
      </c>
      <c r="T79" s="472">
        <f t="shared" si="41"/>
        <v>0</v>
      </c>
      <c r="U79" s="182" t="s">
        <v>1203</v>
      </c>
      <c r="V79" s="36" t="s">
        <v>87</v>
      </c>
      <c r="W79" s="37" t="s">
        <v>98</v>
      </c>
      <c r="X79" s="37" t="s">
        <v>124</v>
      </c>
      <c r="Y79" s="37" t="s">
        <v>1204</v>
      </c>
      <c r="Z79" s="37" t="s">
        <v>90</v>
      </c>
      <c r="AA79" s="12" t="b">
        <f t="shared" si="42"/>
        <v>1</v>
      </c>
      <c r="AB79" s="12" t="b">
        <f t="shared" si="43"/>
        <v>1</v>
      </c>
      <c r="AC79" s="12" t="b">
        <f t="shared" si="44"/>
        <v>1</v>
      </c>
      <c r="AD79" s="12" t="b">
        <f t="shared" si="45"/>
        <v>1</v>
      </c>
      <c r="AE79" s="12" t="b">
        <f t="shared" si="46"/>
        <v>1</v>
      </c>
      <c r="AF79" s="12" t="b">
        <f t="shared" si="47"/>
        <v>1</v>
      </c>
    </row>
    <row r="80" spans="1:32" s="12" customFormat="1" ht="15.75" customHeight="1">
      <c r="A80" s="285"/>
      <c r="B80" s="54" t="s">
        <v>248</v>
      </c>
      <c r="C80" s="36" t="s">
        <v>87</v>
      </c>
      <c r="D80" s="37" t="s">
        <v>98</v>
      </c>
      <c r="E80" s="37" t="s">
        <v>124</v>
      </c>
      <c r="F80" s="37" t="s">
        <v>1205</v>
      </c>
      <c r="G80" s="37" t="s">
        <v>90</v>
      </c>
      <c r="H80" s="183">
        <f t="shared" ref="H80:J81" si="50">H81</f>
        <v>30032.53</v>
      </c>
      <c r="I80" s="183">
        <f t="shared" si="50"/>
        <v>16250.85</v>
      </c>
      <c r="J80" s="183">
        <f t="shared" si="50"/>
        <v>16250.85</v>
      </c>
      <c r="K80" s="183">
        <v>30032.53</v>
      </c>
      <c r="L80" s="183">
        <v>16250.85</v>
      </c>
      <c r="M80" s="183">
        <v>16250.85</v>
      </c>
      <c r="N80" s="183"/>
      <c r="O80" s="183">
        <v>30032.53</v>
      </c>
      <c r="P80" s="183">
        <v>16250.85</v>
      </c>
      <c r="Q80" s="183">
        <v>16250.85</v>
      </c>
      <c r="R80" s="472">
        <f t="shared" si="39"/>
        <v>0</v>
      </c>
      <c r="S80" s="472">
        <f t="shared" si="40"/>
        <v>0</v>
      </c>
      <c r="T80" s="472">
        <f t="shared" si="41"/>
        <v>0</v>
      </c>
      <c r="U80" s="54" t="s">
        <v>248</v>
      </c>
      <c r="V80" s="36" t="s">
        <v>87</v>
      </c>
      <c r="W80" s="37" t="s">
        <v>98</v>
      </c>
      <c r="X80" s="37" t="s">
        <v>124</v>
      </c>
      <c r="Y80" s="37" t="s">
        <v>1205</v>
      </c>
      <c r="Z80" s="37" t="s">
        <v>90</v>
      </c>
      <c r="AA80" s="12" t="b">
        <f t="shared" si="42"/>
        <v>1</v>
      </c>
      <c r="AB80" s="12" t="b">
        <f t="shared" si="43"/>
        <v>1</v>
      </c>
      <c r="AC80" s="12" t="b">
        <f t="shared" si="44"/>
        <v>1</v>
      </c>
      <c r="AD80" s="12" t="b">
        <f t="shared" si="45"/>
        <v>1</v>
      </c>
      <c r="AE80" s="12" t="b">
        <f t="shared" si="46"/>
        <v>1</v>
      </c>
      <c r="AF80" s="12" t="b">
        <f t="shared" si="47"/>
        <v>1</v>
      </c>
    </row>
    <row r="81" spans="1:32" s="12" customFormat="1" ht="15.75" customHeight="1">
      <c r="A81" s="285"/>
      <c r="B81" s="54" t="s">
        <v>197</v>
      </c>
      <c r="C81" s="36" t="s">
        <v>87</v>
      </c>
      <c r="D81" s="37" t="s">
        <v>98</v>
      </c>
      <c r="E81" s="37" t="s">
        <v>124</v>
      </c>
      <c r="F81" s="37" t="s">
        <v>1206</v>
      </c>
      <c r="G81" s="37" t="s">
        <v>90</v>
      </c>
      <c r="H81" s="183">
        <f t="shared" si="50"/>
        <v>30032.53</v>
      </c>
      <c r="I81" s="183">
        <f t="shared" si="50"/>
        <v>16250.85</v>
      </c>
      <c r="J81" s="183">
        <f t="shared" si="50"/>
        <v>16250.85</v>
      </c>
      <c r="K81" s="183">
        <v>30032.53</v>
      </c>
      <c r="L81" s="183">
        <v>16250.85</v>
      </c>
      <c r="M81" s="183">
        <v>16250.85</v>
      </c>
      <c r="N81" s="183"/>
      <c r="O81" s="183">
        <v>30032.53</v>
      </c>
      <c r="P81" s="183">
        <v>16250.85</v>
      </c>
      <c r="Q81" s="183">
        <v>16250.85</v>
      </c>
      <c r="R81" s="472">
        <f t="shared" si="39"/>
        <v>0</v>
      </c>
      <c r="S81" s="472">
        <f t="shared" si="40"/>
        <v>0</v>
      </c>
      <c r="T81" s="472">
        <f t="shared" si="41"/>
        <v>0</v>
      </c>
      <c r="U81" s="54" t="s">
        <v>197</v>
      </c>
      <c r="V81" s="36" t="s">
        <v>87</v>
      </c>
      <c r="W81" s="37" t="s">
        <v>98</v>
      </c>
      <c r="X81" s="37" t="s">
        <v>124</v>
      </c>
      <c r="Y81" s="37" t="s">
        <v>1206</v>
      </c>
      <c r="Z81" s="37" t="s">
        <v>90</v>
      </c>
      <c r="AA81" s="12" t="b">
        <f t="shared" si="42"/>
        <v>1</v>
      </c>
      <c r="AB81" s="12" t="b">
        <f t="shared" si="43"/>
        <v>1</v>
      </c>
      <c r="AC81" s="12" t="b">
        <f t="shared" si="44"/>
        <v>1</v>
      </c>
      <c r="AD81" s="12" t="b">
        <f t="shared" si="45"/>
        <v>1</v>
      </c>
      <c r="AE81" s="12" t="b">
        <f t="shared" si="46"/>
        <v>1</v>
      </c>
      <c r="AF81" s="12" t="b">
        <f t="shared" si="47"/>
        <v>1</v>
      </c>
    </row>
    <row r="82" spans="1:32" s="12" customFormat="1" ht="15.75" customHeight="1">
      <c r="A82" s="285"/>
      <c r="B82" s="54" t="s">
        <v>145</v>
      </c>
      <c r="C82" s="56" t="s">
        <v>87</v>
      </c>
      <c r="D82" s="57" t="s">
        <v>98</v>
      </c>
      <c r="E82" s="57" t="s">
        <v>124</v>
      </c>
      <c r="F82" s="57" t="s">
        <v>1206</v>
      </c>
      <c r="G82" s="57" t="s">
        <v>153</v>
      </c>
      <c r="H82" s="58">
        <f>22257.53+2875+4900</f>
        <v>30032.53</v>
      </c>
      <c r="I82" s="58">
        <v>16250.85</v>
      </c>
      <c r="J82" s="58">
        <v>16250.85</v>
      </c>
      <c r="K82" s="58">
        <v>30032.53</v>
      </c>
      <c r="L82" s="58">
        <v>16250.85</v>
      </c>
      <c r="M82" s="58">
        <v>16250.85</v>
      </c>
      <c r="N82" s="58"/>
      <c r="O82" s="58">
        <v>30032.53</v>
      </c>
      <c r="P82" s="58">
        <v>16250.85</v>
      </c>
      <c r="Q82" s="58">
        <v>16250.85</v>
      </c>
      <c r="R82" s="472">
        <f t="shared" si="39"/>
        <v>0</v>
      </c>
      <c r="S82" s="472">
        <f t="shared" si="40"/>
        <v>0</v>
      </c>
      <c r="T82" s="472">
        <f t="shared" si="41"/>
        <v>0</v>
      </c>
      <c r="U82" s="54" t="s">
        <v>145</v>
      </c>
      <c r="V82" s="56" t="s">
        <v>87</v>
      </c>
      <c r="W82" s="57" t="s">
        <v>98</v>
      </c>
      <c r="X82" s="57" t="s">
        <v>124</v>
      </c>
      <c r="Y82" s="57" t="s">
        <v>1206</v>
      </c>
      <c r="Z82" s="57" t="s">
        <v>153</v>
      </c>
      <c r="AA82" s="12" t="b">
        <f t="shared" si="42"/>
        <v>1</v>
      </c>
      <c r="AB82" s="12" t="b">
        <f t="shared" si="43"/>
        <v>1</v>
      </c>
      <c r="AC82" s="12" t="b">
        <f t="shared" si="44"/>
        <v>1</v>
      </c>
      <c r="AD82" s="12" t="b">
        <f t="shared" si="45"/>
        <v>1</v>
      </c>
      <c r="AE82" s="12" t="b">
        <f t="shared" si="46"/>
        <v>1</v>
      </c>
      <c r="AF82" s="12" t="b">
        <f t="shared" si="47"/>
        <v>1</v>
      </c>
    </row>
    <row r="83" spans="1:32" s="12" customFormat="1" ht="15.75" customHeight="1">
      <c r="A83" s="285"/>
      <c r="B83" s="178" t="s">
        <v>1246</v>
      </c>
      <c r="C83" s="36" t="s">
        <v>87</v>
      </c>
      <c r="D83" s="37" t="s">
        <v>98</v>
      </c>
      <c r="E83" s="37" t="s">
        <v>124</v>
      </c>
      <c r="F83" s="37" t="s">
        <v>1207</v>
      </c>
      <c r="G83" s="37" t="s">
        <v>90</v>
      </c>
      <c r="H83" s="183">
        <f t="shared" ref="H83:J84" si="51">H84</f>
        <v>5288.96</v>
      </c>
      <c r="I83" s="183">
        <f t="shared" si="51"/>
        <v>5288.96</v>
      </c>
      <c r="J83" s="183">
        <f t="shared" si="51"/>
        <v>5288.96</v>
      </c>
      <c r="K83" s="183">
        <v>5288.96</v>
      </c>
      <c r="L83" s="183">
        <v>5288.96</v>
      </c>
      <c r="M83" s="183">
        <v>5288.96</v>
      </c>
      <c r="N83" s="183"/>
      <c r="O83" s="183">
        <v>5288.96</v>
      </c>
      <c r="P83" s="183">
        <v>5288.96</v>
      </c>
      <c r="Q83" s="183">
        <v>5288.96</v>
      </c>
      <c r="R83" s="472">
        <f t="shared" si="39"/>
        <v>0</v>
      </c>
      <c r="S83" s="472">
        <f t="shared" si="40"/>
        <v>0</v>
      </c>
      <c r="T83" s="472">
        <f t="shared" si="41"/>
        <v>0</v>
      </c>
      <c r="U83" s="54" t="s">
        <v>250</v>
      </c>
      <c r="V83" s="36" t="s">
        <v>87</v>
      </c>
      <c r="W83" s="37" t="s">
        <v>98</v>
      </c>
      <c r="X83" s="37" t="s">
        <v>124</v>
      </c>
      <c r="Y83" s="37" t="s">
        <v>1207</v>
      </c>
      <c r="Z83" s="37" t="s">
        <v>90</v>
      </c>
      <c r="AA83" s="12" t="b">
        <f t="shared" si="42"/>
        <v>0</v>
      </c>
      <c r="AB83" s="12" t="b">
        <f t="shared" si="43"/>
        <v>1</v>
      </c>
      <c r="AC83" s="12" t="b">
        <f t="shared" si="44"/>
        <v>1</v>
      </c>
      <c r="AD83" s="12" t="b">
        <f t="shared" si="45"/>
        <v>1</v>
      </c>
      <c r="AE83" s="12" t="b">
        <f t="shared" si="46"/>
        <v>1</v>
      </c>
      <c r="AF83" s="12" t="b">
        <f t="shared" si="47"/>
        <v>1</v>
      </c>
    </row>
    <row r="84" spans="1:32" s="12" customFormat="1" ht="15.75" customHeight="1">
      <c r="A84" s="285"/>
      <c r="B84" s="54" t="s">
        <v>197</v>
      </c>
      <c r="C84" s="36" t="s">
        <v>87</v>
      </c>
      <c r="D84" s="37" t="s">
        <v>98</v>
      </c>
      <c r="E84" s="37" t="s">
        <v>124</v>
      </c>
      <c r="F84" s="37" t="s">
        <v>1208</v>
      </c>
      <c r="G84" s="37" t="s">
        <v>90</v>
      </c>
      <c r="H84" s="183">
        <f t="shared" si="51"/>
        <v>5288.96</v>
      </c>
      <c r="I84" s="183">
        <f t="shared" si="51"/>
        <v>5288.96</v>
      </c>
      <c r="J84" s="183">
        <f t="shared" si="51"/>
        <v>5288.96</v>
      </c>
      <c r="K84" s="183">
        <v>5288.96</v>
      </c>
      <c r="L84" s="183">
        <v>5288.96</v>
      </c>
      <c r="M84" s="183">
        <v>5288.96</v>
      </c>
      <c r="N84" s="183"/>
      <c r="O84" s="183">
        <v>5288.96</v>
      </c>
      <c r="P84" s="183">
        <v>5288.96</v>
      </c>
      <c r="Q84" s="183">
        <v>5288.96</v>
      </c>
      <c r="R84" s="472">
        <f t="shared" si="39"/>
        <v>0</v>
      </c>
      <c r="S84" s="472">
        <f t="shared" si="40"/>
        <v>0</v>
      </c>
      <c r="T84" s="472">
        <f t="shared" si="41"/>
        <v>0</v>
      </c>
      <c r="U84" s="54" t="s">
        <v>197</v>
      </c>
      <c r="V84" s="36" t="s">
        <v>87</v>
      </c>
      <c r="W84" s="37" t="s">
        <v>98</v>
      </c>
      <c r="X84" s="37" t="s">
        <v>124</v>
      </c>
      <c r="Y84" s="37" t="s">
        <v>1208</v>
      </c>
      <c r="Z84" s="37" t="s">
        <v>90</v>
      </c>
      <c r="AA84" s="12" t="b">
        <f t="shared" si="42"/>
        <v>1</v>
      </c>
      <c r="AB84" s="12" t="b">
        <f t="shared" si="43"/>
        <v>1</v>
      </c>
      <c r="AC84" s="12" t="b">
        <f t="shared" si="44"/>
        <v>1</v>
      </c>
      <c r="AD84" s="12" t="b">
        <f t="shared" si="45"/>
        <v>1</v>
      </c>
      <c r="AE84" s="12" t="b">
        <f t="shared" si="46"/>
        <v>1</v>
      </c>
      <c r="AF84" s="12" t="b">
        <f t="shared" si="47"/>
        <v>1</v>
      </c>
    </row>
    <row r="85" spans="1:32" s="12" customFormat="1" ht="15.75" customHeight="1">
      <c r="A85" s="285"/>
      <c r="B85" s="182" t="s">
        <v>145</v>
      </c>
      <c r="C85" s="36" t="s">
        <v>87</v>
      </c>
      <c r="D85" s="37" t="s">
        <v>98</v>
      </c>
      <c r="E85" s="37" t="s">
        <v>124</v>
      </c>
      <c r="F85" s="37" t="s">
        <v>1208</v>
      </c>
      <c r="G85" s="37" t="s">
        <v>153</v>
      </c>
      <c r="H85" s="183">
        <f>4422.16+468+398.8</f>
        <v>5288.96</v>
      </c>
      <c r="I85" s="183">
        <f>4422.16+468+398.8</f>
        <v>5288.96</v>
      </c>
      <c r="J85" s="183">
        <f>4422.16+468+398.8</f>
        <v>5288.96</v>
      </c>
      <c r="K85" s="183">
        <v>5288.96</v>
      </c>
      <c r="L85" s="183">
        <v>5288.96</v>
      </c>
      <c r="M85" s="183">
        <v>5288.96</v>
      </c>
      <c r="N85" s="183"/>
      <c r="O85" s="183">
        <v>5288.96</v>
      </c>
      <c r="P85" s="183">
        <v>5288.96</v>
      </c>
      <c r="Q85" s="183">
        <v>5288.96</v>
      </c>
      <c r="R85" s="472">
        <f t="shared" si="39"/>
        <v>0</v>
      </c>
      <c r="S85" s="472">
        <f t="shared" si="40"/>
        <v>0</v>
      </c>
      <c r="T85" s="472">
        <f t="shared" si="41"/>
        <v>0</v>
      </c>
      <c r="U85" s="182" t="s">
        <v>145</v>
      </c>
      <c r="V85" s="36" t="s">
        <v>87</v>
      </c>
      <c r="W85" s="37" t="s">
        <v>98</v>
      </c>
      <c r="X85" s="37" t="s">
        <v>124</v>
      </c>
      <c r="Y85" s="37" t="s">
        <v>1208</v>
      </c>
      <c r="Z85" s="37" t="s">
        <v>153</v>
      </c>
      <c r="AA85" s="12" t="b">
        <f t="shared" si="42"/>
        <v>1</v>
      </c>
      <c r="AB85" s="12" t="b">
        <f t="shared" si="43"/>
        <v>1</v>
      </c>
      <c r="AC85" s="12" t="b">
        <f t="shared" si="44"/>
        <v>1</v>
      </c>
      <c r="AD85" s="12" t="b">
        <f t="shared" si="45"/>
        <v>1</v>
      </c>
      <c r="AE85" s="12" t="b">
        <f t="shared" si="46"/>
        <v>1</v>
      </c>
      <c r="AF85" s="12" t="b">
        <f t="shared" si="47"/>
        <v>1</v>
      </c>
    </row>
    <row r="86" spans="1:32" s="12" customFormat="1" ht="15.75" customHeight="1">
      <c r="A86" s="285"/>
      <c r="B86" s="22" t="s">
        <v>667</v>
      </c>
      <c r="C86" s="56">
        <v>601</v>
      </c>
      <c r="D86" s="56" t="s">
        <v>98</v>
      </c>
      <c r="E86" s="56">
        <v>13</v>
      </c>
      <c r="F86" s="56" t="s">
        <v>255</v>
      </c>
      <c r="G86" s="56" t="s">
        <v>90</v>
      </c>
      <c r="H86" s="60">
        <f>H87+H99</f>
        <v>787.87</v>
      </c>
      <c r="I86" s="60">
        <f>I87+I99</f>
        <v>787.87</v>
      </c>
      <c r="J86" s="60">
        <f>J87+J99</f>
        <v>787.87</v>
      </c>
      <c r="K86" s="60">
        <v>787.87</v>
      </c>
      <c r="L86" s="60">
        <v>787.87</v>
      </c>
      <c r="M86" s="60">
        <v>787.87</v>
      </c>
      <c r="N86" s="60"/>
      <c r="O86" s="60">
        <v>787.87</v>
      </c>
      <c r="P86" s="60">
        <v>787.87</v>
      </c>
      <c r="Q86" s="60">
        <v>787.87</v>
      </c>
      <c r="R86" s="472">
        <f t="shared" si="39"/>
        <v>0</v>
      </c>
      <c r="S86" s="472">
        <f t="shared" si="40"/>
        <v>0</v>
      </c>
      <c r="T86" s="472">
        <f t="shared" si="41"/>
        <v>0</v>
      </c>
      <c r="U86" s="22" t="s">
        <v>667</v>
      </c>
      <c r="V86" s="56">
        <v>601</v>
      </c>
      <c r="W86" s="56" t="s">
        <v>98</v>
      </c>
      <c r="X86" s="56">
        <v>13</v>
      </c>
      <c r="Y86" s="56" t="s">
        <v>255</v>
      </c>
      <c r="Z86" s="56" t="s">
        <v>90</v>
      </c>
      <c r="AA86" s="12" t="b">
        <f t="shared" si="42"/>
        <v>1</v>
      </c>
      <c r="AB86" s="12" t="b">
        <f t="shared" si="43"/>
        <v>1</v>
      </c>
      <c r="AC86" s="12" t="b">
        <f t="shared" si="44"/>
        <v>1</v>
      </c>
      <c r="AD86" s="12" t="b">
        <f t="shared" si="45"/>
        <v>1</v>
      </c>
      <c r="AE86" s="12" t="b">
        <f t="shared" si="46"/>
        <v>1</v>
      </c>
      <c r="AF86" s="12" t="b">
        <f t="shared" si="47"/>
        <v>1</v>
      </c>
    </row>
    <row r="87" spans="1:32" s="12" customFormat="1" ht="15.75" customHeight="1">
      <c r="A87" s="285"/>
      <c r="B87" s="182" t="s">
        <v>814</v>
      </c>
      <c r="C87" s="56">
        <v>601</v>
      </c>
      <c r="D87" s="56" t="s">
        <v>98</v>
      </c>
      <c r="E87" s="56">
        <v>13</v>
      </c>
      <c r="F87" s="56" t="s">
        <v>256</v>
      </c>
      <c r="G87" s="56" t="s">
        <v>90</v>
      </c>
      <c r="H87" s="60">
        <f>H88+H91+H96</f>
        <v>436.6</v>
      </c>
      <c r="I87" s="60">
        <f>I88+I91+I96</f>
        <v>436.6</v>
      </c>
      <c r="J87" s="60">
        <f>J88+J91+J96</f>
        <v>436.6</v>
      </c>
      <c r="K87" s="60">
        <v>436.6</v>
      </c>
      <c r="L87" s="60">
        <v>436.6</v>
      </c>
      <c r="M87" s="60">
        <v>436.6</v>
      </c>
      <c r="N87" s="60"/>
      <c r="O87" s="60">
        <v>436.6</v>
      </c>
      <c r="P87" s="60">
        <v>436.6</v>
      </c>
      <c r="Q87" s="60">
        <v>436.6</v>
      </c>
      <c r="R87" s="472">
        <f t="shared" si="39"/>
        <v>0</v>
      </c>
      <c r="S87" s="472">
        <f t="shared" si="40"/>
        <v>0</v>
      </c>
      <c r="T87" s="472">
        <f t="shared" si="41"/>
        <v>0</v>
      </c>
      <c r="U87" s="182" t="s">
        <v>814</v>
      </c>
      <c r="V87" s="56">
        <v>601</v>
      </c>
      <c r="W87" s="56" t="s">
        <v>98</v>
      </c>
      <c r="X87" s="56">
        <v>13</v>
      </c>
      <c r="Y87" s="56" t="s">
        <v>256</v>
      </c>
      <c r="Z87" s="56" t="s">
        <v>90</v>
      </c>
      <c r="AA87" s="12" t="b">
        <f t="shared" si="42"/>
        <v>1</v>
      </c>
      <c r="AB87" s="12" t="b">
        <f t="shared" si="43"/>
        <v>1</v>
      </c>
      <c r="AC87" s="12" t="b">
        <f t="shared" si="44"/>
        <v>1</v>
      </c>
      <c r="AD87" s="12" t="b">
        <f t="shared" si="45"/>
        <v>1</v>
      </c>
      <c r="AE87" s="12" t="b">
        <f t="shared" si="46"/>
        <v>1</v>
      </c>
      <c r="AF87" s="12" t="b">
        <f t="shared" si="47"/>
        <v>1</v>
      </c>
    </row>
    <row r="88" spans="1:32" s="12" customFormat="1" ht="15.75" customHeight="1">
      <c r="A88" s="285"/>
      <c r="B88" s="182" t="s">
        <v>824</v>
      </c>
      <c r="C88" s="36">
        <v>601</v>
      </c>
      <c r="D88" s="36" t="s">
        <v>98</v>
      </c>
      <c r="E88" s="36">
        <v>13</v>
      </c>
      <c r="F88" s="36" t="s">
        <v>466</v>
      </c>
      <c r="G88" s="36" t="s">
        <v>90</v>
      </c>
      <c r="H88" s="60">
        <f>H89</f>
        <v>100</v>
      </c>
      <c r="I88" s="60">
        <f>I89</f>
        <v>100</v>
      </c>
      <c r="J88" s="60">
        <f>J89</f>
        <v>100</v>
      </c>
      <c r="K88" s="60">
        <v>100</v>
      </c>
      <c r="L88" s="60">
        <v>100</v>
      </c>
      <c r="M88" s="60">
        <v>100</v>
      </c>
      <c r="N88" s="60"/>
      <c r="O88" s="60">
        <v>100</v>
      </c>
      <c r="P88" s="60">
        <v>100</v>
      </c>
      <c r="Q88" s="60">
        <v>100</v>
      </c>
      <c r="R88" s="472">
        <f t="shared" si="39"/>
        <v>0</v>
      </c>
      <c r="S88" s="472">
        <f t="shared" si="40"/>
        <v>0</v>
      </c>
      <c r="T88" s="472">
        <f t="shared" si="41"/>
        <v>0</v>
      </c>
      <c r="U88" s="182" t="s">
        <v>824</v>
      </c>
      <c r="V88" s="36">
        <v>601</v>
      </c>
      <c r="W88" s="36" t="s">
        <v>98</v>
      </c>
      <c r="X88" s="36">
        <v>13</v>
      </c>
      <c r="Y88" s="36" t="s">
        <v>466</v>
      </c>
      <c r="Z88" s="36" t="s">
        <v>90</v>
      </c>
      <c r="AA88" s="12" t="b">
        <f t="shared" si="42"/>
        <v>1</v>
      </c>
      <c r="AB88" s="12" t="b">
        <f t="shared" si="43"/>
        <v>1</v>
      </c>
      <c r="AC88" s="12" t="b">
        <f t="shared" si="44"/>
        <v>1</v>
      </c>
      <c r="AD88" s="12" t="b">
        <f t="shared" si="45"/>
        <v>1</v>
      </c>
      <c r="AE88" s="12" t="b">
        <f t="shared" si="46"/>
        <v>1</v>
      </c>
      <c r="AF88" s="12" t="b">
        <f t="shared" si="47"/>
        <v>1</v>
      </c>
    </row>
    <row r="89" spans="1:32" s="12" customFormat="1" ht="15.75" customHeight="1">
      <c r="A89" s="285"/>
      <c r="B89" s="54" t="s">
        <v>158</v>
      </c>
      <c r="C89" s="36">
        <v>601</v>
      </c>
      <c r="D89" s="36" t="s">
        <v>98</v>
      </c>
      <c r="E89" s="36">
        <v>13</v>
      </c>
      <c r="F89" s="36" t="s">
        <v>467</v>
      </c>
      <c r="G89" s="36" t="s">
        <v>90</v>
      </c>
      <c r="H89" s="60">
        <f>SUM(H90:H90)</f>
        <v>100</v>
      </c>
      <c r="I89" s="60">
        <f>SUM(I90:I90)</f>
        <v>100</v>
      </c>
      <c r="J89" s="60">
        <f>SUM(J90:J90)</f>
        <v>100</v>
      </c>
      <c r="K89" s="60">
        <v>100</v>
      </c>
      <c r="L89" s="60">
        <v>100</v>
      </c>
      <c r="M89" s="60">
        <v>100</v>
      </c>
      <c r="N89" s="60"/>
      <c r="O89" s="60">
        <v>100</v>
      </c>
      <c r="P89" s="60">
        <v>100</v>
      </c>
      <c r="Q89" s="60">
        <v>100</v>
      </c>
      <c r="R89" s="472">
        <f t="shared" si="39"/>
        <v>0</v>
      </c>
      <c r="S89" s="472">
        <f t="shared" si="40"/>
        <v>0</v>
      </c>
      <c r="T89" s="472">
        <f t="shared" si="41"/>
        <v>0</v>
      </c>
      <c r="U89" s="54" t="s">
        <v>158</v>
      </c>
      <c r="V89" s="36">
        <v>601</v>
      </c>
      <c r="W89" s="36" t="s">
        <v>98</v>
      </c>
      <c r="X89" s="36">
        <v>13</v>
      </c>
      <c r="Y89" s="36" t="s">
        <v>467</v>
      </c>
      <c r="Z89" s="36" t="s">
        <v>90</v>
      </c>
      <c r="AA89" s="12" t="b">
        <f t="shared" si="42"/>
        <v>1</v>
      </c>
      <c r="AB89" s="12" t="b">
        <f t="shared" si="43"/>
        <v>1</v>
      </c>
      <c r="AC89" s="12" t="b">
        <f t="shared" si="44"/>
        <v>1</v>
      </c>
      <c r="AD89" s="12" t="b">
        <f t="shared" si="45"/>
        <v>1</v>
      </c>
      <c r="AE89" s="12" t="b">
        <f t="shared" si="46"/>
        <v>1</v>
      </c>
      <c r="AF89" s="12" t="b">
        <f t="shared" si="47"/>
        <v>1</v>
      </c>
    </row>
    <row r="90" spans="1:32" s="12" customFormat="1" ht="15.75" customHeight="1">
      <c r="A90" s="285"/>
      <c r="B90" s="47" t="s">
        <v>145</v>
      </c>
      <c r="C90" s="36">
        <v>601</v>
      </c>
      <c r="D90" s="36" t="s">
        <v>98</v>
      </c>
      <c r="E90" s="36">
        <v>13</v>
      </c>
      <c r="F90" s="36" t="s">
        <v>467</v>
      </c>
      <c r="G90" s="36" t="s">
        <v>153</v>
      </c>
      <c r="H90" s="183">
        <v>100</v>
      </c>
      <c r="I90" s="183">
        <v>100</v>
      </c>
      <c r="J90" s="183">
        <v>100</v>
      </c>
      <c r="K90" s="183">
        <v>100</v>
      </c>
      <c r="L90" s="183">
        <v>100</v>
      </c>
      <c r="M90" s="183">
        <v>100</v>
      </c>
      <c r="N90" s="183"/>
      <c r="O90" s="183">
        <v>100</v>
      </c>
      <c r="P90" s="183">
        <v>100</v>
      </c>
      <c r="Q90" s="183">
        <v>100</v>
      </c>
      <c r="R90" s="472">
        <f t="shared" si="39"/>
        <v>0</v>
      </c>
      <c r="S90" s="472">
        <f t="shared" si="40"/>
        <v>0</v>
      </c>
      <c r="T90" s="472">
        <f t="shared" si="41"/>
        <v>0</v>
      </c>
      <c r="U90" s="47" t="s">
        <v>145</v>
      </c>
      <c r="V90" s="36">
        <v>601</v>
      </c>
      <c r="W90" s="36" t="s">
        <v>98</v>
      </c>
      <c r="X90" s="36">
        <v>13</v>
      </c>
      <c r="Y90" s="36" t="s">
        <v>467</v>
      </c>
      <c r="Z90" s="36" t="s">
        <v>153</v>
      </c>
      <c r="AA90" s="12" t="b">
        <f t="shared" si="42"/>
        <v>1</v>
      </c>
      <c r="AB90" s="12" t="b">
        <f t="shared" si="43"/>
        <v>1</v>
      </c>
      <c r="AC90" s="12" t="b">
        <f t="shared" si="44"/>
        <v>1</v>
      </c>
      <c r="AD90" s="12" t="b">
        <f t="shared" si="45"/>
        <v>1</v>
      </c>
      <c r="AE90" s="12" t="b">
        <f t="shared" si="46"/>
        <v>1</v>
      </c>
      <c r="AF90" s="12" t="b">
        <f t="shared" si="47"/>
        <v>1</v>
      </c>
    </row>
    <row r="91" spans="1:32" s="12" customFormat="1" ht="15.75" customHeight="1">
      <c r="A91" s="285"/>
      <c r="B91" s="182" t="s">
        <v>817</v>
      </c>
      <c r="C91" s="56">
        <v>601</v>
      </c>
      <c r="D91" s="56" t="s">
        <v>98</v>
      </c>
      <c r="E91" s="56">
        <v>13</v>
      </c>
      <c r="F91" s="56" t="s">
        <v>468</v>
      </c>
      <c r="G91" s="56" t="s">
        <v>90</v>
      </c>
      <c r="H91" s="60">
        <f>H92+H94</f>
        <v>285.3</v>
      </c>
      <c r="I91" s="60">
        <f>I92+I94</f>
        <v>285.3</v>
      </c>
      <c r="J91" s="60">
        <f>J92+J94</f>
        <v>285.3</v>
      </c>
      <c r="K91" s="60">
        <v>285.3</v>
      </c>
      <c r="L91" s="60">
        <v>285.3</v>
      </c>
      <c r="M91" s="60">
        <v>285.3</v>
      </c>
      <c r="N91" s="60"/>
      <c r="O91" s="60">
        <v>285.3</v>
      </c>
      <c r="P91" s="60">
        <v>285.3</v>
      </c>
      <c r="Q91" s="60">
        <v>285.3</v>
      </c>
      <c r="R91" s="472">
        <f t="shared" si="39"/>
        <v>0</v>
      </c>
      <c r="S91" s="472">
        <f t="shared" si="40"/>
        <v>0</v>
      </c>
      <c r="T91" s="472">
        <f t="shared" si="41"/>
        <v>0</v>
      </c>
      <c r="U91" s="182" t="s">
        <v>817</v>
      </c>
      <c r="V91" s="56">
        <v>601</v>
      </c>
      <c r="W91" s="56" t="s">
        <v>98</v>
      </c>
      <c r="X91" s="56">
        <v>13</v>
      </c>
      <c r="Y91" s="56" t="s">
        <v>468</v>
      </c>
      <c r="Z91" s="56" t="s">
        <v>90</v>
      </c>
      <c r="AA91" s="12" t="b">
        <f t="shared" si="42"/>
        <v>1</v>
      </c>
      <c r="AB91" s="12" t="b">
        <f t="shared" si="43"/>
        <v>1</v>
      </c>
      <c r="AC91" s="12" t="b">
        <f t="shared" si="44"/>
        <v>1</v>
      </c>
      <c r="AD91" s="12" t="b">
        <f t="shared" si="45"/>
        <v>1</v>
      </c>
      <c r="AE91" s="12" t="b">
        <f t="shared" si="46"/>
        <v>1</v>
      </c>
      <c r="AF91" s="12" t="b">
        <f t="shared" si="47"/>
        <v>1</v>
      </c>
    </row>
    <row r="92" spans="1:32" s="12" customFormat="1" ht="15.75" customHeight="1">
      <c r="A92" s="285"/>
      <c r="B92" s="54" t="s">
        <v>158</v>
      </c>
      <c r="C92" s="56">
        <v>601</v>
      </c>
      <c r="D92" s="56" t="s">
        <v>98</v>
      </c>
      <c r="E92" s="56">
        <v>13</v>
      </c>
      <c r="F92" s="56" t="s">
        <v>499</v>
      </c>
      <c r="G92" s="56" t="s">
        <v>90</v>
      </c>
      <c r="H92" s="60">
        <f>SUM(H93:H93)</f>
        <v>180.04</v>
      </c>
      <c r="I92" s="60">
        <f>SUM(I93:I93)</f>
        <v>180.04</v>
      </c>
      <c r="J92" s="60">
        <f>SUM(J93:J93)</f>
        <v>180.04</v>
      </c>
      <c r="K92" s="60">
        <v>180.04</v>
      </c>
      <c r="L92" s="60">
        <v>180.04</v>
      </c>
      <c r="M92" s="60">
        <v>180.04</v>
      </c>
      <c r="N92" s="60"/>
      <c r="O92" s="60">
        <v>180.04</v>
      </c>
      <c r="P92" s="60">
        <v>180.04</v>
      </c>
      <c r="Q92" s="60">
        <v>180.04</v>
      </c>
      <c r="R92" s="472">
        <f t="shared" si="39"/>
        <v>0</v>
      </c>
      <c r="S92" s="472">
        <f t="shared" si="40"/>
        <v>0</v>
      </c>
      <c r="T92" s="472">
        <f t="shared" si="41"/>
        <v>0</v>
      </c>
      <c r="U92" s="54" t="s">
        <v>158</v>
      </c>
      <c r="V92" s="56">
        <v>601</v>
      </c>
      <c r="W92" s="56" t="s">
        <v>98</v>
      </c>
      <c r="X92" s="56">
        <v>13</v>
      </c>
      <c r="Y92" s="56" t="s">
        <v>499</v>
      </c>
      <c r="Z92" s="56" t="s">
        <v>90</v>
      </c>
      <c r="AA92" s="12" t="b">
        <f t="shared" si="42"/>
        <v>1</v>
      </c>
      <c r="AB92" s="12" t="b">
        <f t="shared" si="43"/>
        <v>1</v>
      </c>
      <c r="AC92" s="12" t="b">
        <f t="shared" si="44"/>
        <v>1</v>
      </c>
      <c r="AD92" s="12" t="b">
        <f t="shared" si="45"/>
        <v>1</v>
      </c>
      <c r="AE92" s="12" t="b">
        <f t="shared" si="46"/>
        <v>1</v>
      </c>
      <c r="AF92" s="12" t="b">
        <f t="shared" si="47"/>
        <v>1</v>
      </c>
    </row>
    <row r="93" spans="1:32" s="12" customFormat="1" ht="15.75" customHeight="1">
      <c r="A93" s="285"/>
      <c r="B93" s="47" t="s">
        <v>145</v>
      </c>
      <c r="C93" s="36">
        <v>601</v>
      </c>
      <c r="D93" s="36" t="s">
        <v>98</v>
      </c>
      <c r="E93" s="36">
        <v>13</v>
      </c>
      <c r="F93" s="36" t="s">
        <v>499</v>
      </c>
      <c r="G93" s="36" t="s">
        <v>153</v>
      </c>
      <c r="H93" s="183">
        <v>180.04</v>
      </c>
      <c r="I93" s="183">
        <v>180.04</v>
      </c>
      <c r="J93" s="183">
        <v>180.04</v>
      </c>
      <c r="K93" s="183">
        <v>180.04</v>
      </c>
      <c r="L93" s="183">
        <v>180.04</v>
      </c>
      <c r="M93" s="183">
        <v>180.04</v>
      </c>
      <c r="N93" s="183"/>
      <c r="O93" s="183">
        <v>180.04</v>
      </c>
      <c r="P93" s="183">
        <v>180.04</v>
      </c>
      <c r="Q93" s="183">
        <v>180.04</v>
      </c>
      <c r="R93" s="472">
        <f t="shared" si="39"/>
        <v>0</v>
      </c>
      <c r="S93" s="472">
        <f t="shared" si="40"/>
        <v>0</v>
      </c>
      <c r="T93" s="472">
        <f t="shared" si="41"/>
        <v>0</v>
      </c>
      <c r="U93" s="47" t="s">
        <v>145</v>
      </c>
      <c r="V93" s="36">
        <v>601</v>
      </c>
      <c r="W93" s="36" t="s">
        <v>98</v>
      </c>
      <c r="X93" s="36">
        <v>13</v>
      </c>
      <c r="Y93" s="36" t="s">
        <v>499</v>
      </c>
      <c r="Z93" s="36" t="s">
        <v>153</v>
      </c>
      <c r="AA93" s="12" t="b">
        <f t="shared" si="42"/>
        <v>1</v>
      </c>
      <c r="AB93" s="12" t="b">
        <f t="shared" si="43"/>
        <v>1</v>
      </c>
      <c r="AC93" s="12" t="b">
        <f t="shared" si="44"/>
        <v>1</v>
      </c>
      <c r="AD93" s="12" t="b">
        <f t="shared" si="45"/>
        <v>1</v>
      </c>
      <c r="AE93" s="12" t="b">
        <f t="shared" si="46"/>
        <v>1</v>
      </c>
      <c r="AF93" s="12" t="b">
        <f t="shared" si="47"/>
        <v>1</v>
      </c>
    </row>
    <row r="94" spans="1:32" s="12" customFormat="1" ht="15.75" customHeight="1">
      <c r="A94" s="285"/>
      <c r="B94" s="182" t="s">
        <v>914</v>
      </c>
      <c r="C94" s="56">
        <v>601</v>
      </c>
      <c r="D94" s="56" t="s">
        <v>98</v>
      </c>
      <c r="E94" s="56">
        <v>13</v>
      </c>
      <c r="F94" s="56" t="s">
        <v>875</v>
      </c>
      <c r="G94" s="56" t="s">
        <v>90</v>
      </c>
      <c r="H94" s="60">
        <f>SUM(H95:H95)</f>
        <v>105.26</v>
      </c>
      <c r="I94" s="69">
        <f>SUM(I95:I95)</f>
        <v>105.26</v>
      </c>
      <c r="J94" s="69">
        <f>SUM(J95:J95)</f>
        <v>105.26</v>
      </c>
      <c r="K94" s="69">
        <v>105.26</v>
      </c>
      <c r="L94" s="69">
        <v>105.26</v>
      </c>
      <c r="M94" s="69">
        <v>105.26</v>
      </c>
      <c r="N94" s="69"/>
      <c r="O94" s="69">
        <v>105.26</v>
      </c>
      <c r="P94" s="69">
        <v>105.26</v>
      </c>
      <c r="Q94" s="69">
        <v>105.26</v>
      </c>
      <c r="R94" s="472">
        <f t="shared" si="39"/>
        <v>0</v>
      </c>
      <c r="S94" s="472">
        <f t="shared" si="40"/>
        <v>0</v>
      </c>
      <c r="T94" s="472">
        <f t="shared" si="41"/>
        <v>0</v>
      </c>
      <c r="U94" s="182" t="s">
        <v>914</v>
      </c>
      <c r="V94" s="56">
        <v>601</v>
      </c>
      <c r="W94" s="56" t="s">
        <v>98</v>
      </c>
      <c r="X94" s="56">
        <v>13</v>
      </c>
      <c r="Y94" s="56" t="s">
        <v>875</v>
      </c>
      <c r="Z94" s="56" t="s">
        <v>90</v>
      </c>
      <c r="AA94" s="12" t="b">
        <f t="shared" si="42"/>
        <v>1</v>
      </c>
      <c r="AB94" s="12" t="b">
        <f t="shared" si="43"/>
        <v>1</v>
      </c>
      <c r="AC94" s="12" t="b">
        <f t="shared" si="44"/>
        <v>1</v>
      </c>
      <c r="AD94" s="12" t="b">
        <f t="shared" si="45"/>
        <v>1</v>
      </c>
      <c r="AE94" s="12" t="b">
        <f t="shared" si="46"/>
        <v>1</v>
      </c>
      <c r="AF94" s="12" t="b">
        <f t="shared" si="47"/>
        <v>1</v>
      </c>
    </row>
    <row r="95" spans="1:32" s="12" customFormat="1" ht="15.75" customHeight="1">
      <c r="A95" s="285"/>
      <c r="B95" s="47" t="s">
        <v>145</v>
      </c>
      <c r="C95" s="36">
        <v>601</v>
      </c>
      <c r="D95" s="36" t="s">
        <v>98</v>
      </c>
      <c r="E95" s="36">
        <v>13</v>
      </c>
      <c r="F95" s="36" t="s">
        <v>875</v>
      </c>
      <c r="G95" s="36" t="s">
        <v>153</v>
      </c>
      <c r="H95" s="183">
        <v>105.26</v>
      </c>
      <c r="I95" s="183">
        <v>105.26</v>
      </c>
      <c r="J95" s="183">
        <v>105.26</v>
      </c>
      <c r="K95" s="183">
        <v>105.26</v>
      </c>
      <c r="L95" s="183">
        <v>105.26</v>
      </c>
      <c r="M95" s="183">
        <v>105.26</v>
      </c>
      <c r="N95" s="183"/>
      <c r="O95" s="183">
        <v>105.26</v>
      </c>
      <c r="P95" s="183">
        <v>105.26</v>
      </c>
      <c r="Q95" s="183">
        <v>105.26</v>
      </c>
      <c r="R95" s="472">
        <f t="shared" si="39"/>
        <v>0</v>
      </c>
      <c r="S95" s="472">
        <f t="shared" si="40"/>
        <v>0</v>
      </c>
      <c r="T95" s="472">
        <f t="shared" si="41"/>
        <v>0</v>
      </c>
      <c r="U95" s="47" t="s">
        <v>145</v>
      </c>
      <c r="V95" s="36">
        <v>601</v>
      </c>
      <c r="W95" s="36" t="s">
        <v>98</v>
      </c>
      <c r="X95" s="36">
        <v>13</v>
      </c>
      <c r="Y95" s="36" t="s">
        <v>875</v>
      </c>
      <c r="Z95" s="36" t="s">
        <v>153</v>
      </c>
      <c r="AA95" s="12" t="b">
        <f t="shared" si="42"/>
        <v>1</v>
      </c>
      <c r="AB95" s="12" t="b">
        <f t="shared" si="43"/>
        <v>1</v>
      </c>
      <c r="AC95" s="12" t="b">
        <f t="shared" si="44"/>
        <v>1</v>
      </c>
      <c r="AD95" s="12" t="b">
        <f t="shared" si="45"/>
        <v>1</v>
      </c>
      <c r="AE95" s="12" t="b">
        <f t="shared" si="46"/>
        <v>1</v>
      </c>
      <c r="AF95" s="12" t="b">
        <f t="shared" si="47"/>
        <v>1</v>
      </c>
    </row>
    <row r="96" spans="1:32" s="12" customFormat="1" ht="15.75" customHeight="1">
      <c r="A96" s="285"/>
      <c r="B96" s="182" t="s">
        <v>818</v>
      </c>
      <c r="C96" s="56">
        <v>601</v>
      </c>
      <c r="D96" s="56" t="s">
        <v>98</v>
      </c>
      <c r="E96" s="56">
        <v>13</v>
      </c>
      <c r="F96" s="56" t="s">
        <v>815</v>
      </c>
      <c r="G96" s="56" t="s">
        <v>90</v>
      </c>
      <c r="H96" s="60">
        <f>H97</f>
        <v>51.3</v>
      </c>
      <c r="I96" s="60">
        <f>I97</f>
        <v>51.3</v>
      </c>
      <c r="J96" s="60">
        <f>J97</f>
        <v>51.3</v>
      </c>
      <c r="K96" s="60">
        <v>51.3</v>
      </c>
      <c r="L96" s="60">
        <v>51.3</v>
      </c>
      <c r="M96" s="60">
        <v>51.3</v>
      </c>
      <c r="N96" s="60"/>
      <c r="O96" s="60">
        <v>51.3</v>
      </c>
      <c r="P96" s="60">
        <v>51.3</v>
      </c>
      <c r="Q96" s="60">
        <v>51.3</v>
      </c>
      <c r="R96" s="472">
        <f t="shared" si="39"/>
        <v>0</v>
      </c>
      <c r="S96" s="472">
        <f t="shared" si="40"/>
        <v>0</v>
      </c>
      <c r="T96" s="472">
        <f t="shared" si="41"/>
        <v>0</v>
      </c>
      <c r="U96" s="182" t="s">
        <v>818</v>
      </c>
      <c r="V96" s="56">
        <v>601</v>
      </c>
      <c r="W96" s="56" t="s">
        <v>98</v>
      </c>
      <c r="X96" s="56">
        <v>13</v>
      </c>
      <c r="Y96" s="56" t="s">
        <v>815</v>
      </c>
      <c r="Z96" s="56" t="s">
        <v>90</v>
      </c>
      <c r="AA96" s="12" t="b">
        <f t="shared" si="42"/>
        <v>1</v>
      </c>
      <c r="AB96" s="12" t="b">
        <f t="shared" si="43"/>
        <v>1</v>
      </c>
      <c r="AC96" s="12" t="b">
        <f t="shared" si="44"/>
        <v>1</v>
      </c>
      <c r="AD96" s="12" t="b">
        <f t="shared" si="45"/>
        <v>1</v>
      </c>
      <c r="AE96" s="12" t="b">
        <f t="shared" si="46"/>
        <v>1</v>
      </c>
      <c r="AF96" s="12" t="b">
        <f t="shared" si="47"/>
        <v>1</v>
      </c>
    </row>
    <row r="97" spans="1:32" s="12" customFormat="1" ht="15.75" customHeight="1">
      <c r="A97" s="285"/>
      <c r="B97" s="182" t="s">
        <v>158</v>
      </c>
      <c r="C97" s="56">
        <v>601</v>
      </c>
      <c r="D97" s="56" t="s">
        <v>98</v>
      </c>
      <c r="E97" s="56">
        <v>13</v>
      </c>
      <c r="F97" s="56" t="s">
        <v>816</v>
      </c>
      <c r="G97" s="56" t="s">
        <v>90</v>
      </c>
      <c r="H97" s="60">
        <f t="shared" ref="H97:J97" si="52">SUM(H98:H98)</f>
        <v>51.3</v>
      </c>
      <c r="I97" s="60">
        <f t="shared" si="52"/>
        <v>51.3</v>
      </c>
      <c r="J97" s="60">
        <f t="shared" si="52"/>
        <v>51.3</v>
      </c>
      <c r="K97" s="60">
        <v>51.3</v>
      </c>
      <c r="L97" s="60">
        <v>51.3</v>
      </c>
      <c r="M97" s="60">
        <v>51.3</v>
      </c>
      <c r="N97" s="60"/>
      <c r="O97" s="60">
        <v>51.3</v>
      </c>
      <c r="P97" s="60">
        <v>51.3</v>
      </c>
      <c r="Q97" s="60">
        <v>51.3</v>
      </c>
      <c r="R97" s="472">
        <f t="shared" si="39"/>
        <v>0</v>
      </c>
      <c r="S97" s="472">
        <f t="shared" si="40"/>
        <v>0</v>
      </c>
      <c r="T97" s="472">
        <f t="shared" si="41"/>
        <v>0</v>
      </c>
      <c r="U97" s="182" t="s">
        <v>158</v>
      </c>
      <c r="V97" s="56">
        <v>601</v>
      </c>
      <c r="W97" s="56" t="s">
        <v>98</v>
      </c>
      <c r="X97" s="56">
        <v>13</v>
      </c>
      <c r="Y97" s="56" t="s">
        <v>816</v>
      </c>
      <c r="Z97" s="56" t="s">
        <v>90</v>
      </c>
      <c r="AA97" s="12" t="b">
        <f t="shared" si="42"/>
        <v>1</v>
      </c>
      <c r="AB97" s="12" t="b">
        <f t="shared" si="43"/>
        <v>1</v>
      </c>
      <c r="AC97" s="12" t="b">
        <f t="shared" si="44"/>
        <v>1</v>
      </c>
      <c r="AD97" s="12" t="b">
        <f t="shared" si="45"/>
        <v>1</v>
      </c>
      <c r="AE97" s="12" t="b">
        <f t="shared" si="46"/>
        <v>1</v>
      </c>
      <c r="AF97" s="12" t="b">
        <f t="shared" si="47"/>
        <v>1</v>
      </c>
    </row>
    <row r="98" spans="1:32" s="12" customFormat="1" ht="15.75" customHeight="1">
      <c r="A98" s="285"/>
      <c r="B98" s="47" t="s">
        <v>145</v>
      </c>
      <c r="C98" s="36">
        <v>601</v>
      </c>
      <c r="D98" s="36" t="s">
        <v>98</v>
      </c>
      <c r="E98" s="36">
        <v>13</v>
      </c>
      <c r="F98" s="36" t="s">
        <v>816</v>
      </c>
      <c r="G98" s="36" t="s">
        <v>153</v>
      </c>
      <c r="H98" s="183">
        <v>51.3</v>
      </c>
      <c r="I98" s="183">
        <v>51.3</v>
      </c>
      <c r="J98" s="183">
        <v>51.3</v>
      </c>
      <c r="K98" s="183">
        <v>51.3</v>
      </c>
      <c r="L98" s="183">
        <v>51.3</v>
      </c>
      <c r="M98" s="183">
        <v>51.3</v>
      </c>
      <c r="N98" s="183"/>
      <c r="O98" s="183">
        <v>51.3</v>
      </c>
      <c r="P98" s="183">
        <v>51.3</v>
      </c>
      <c r="Q98" s="183">
        <v>51.3</v>
      </c>
      <c r="R98" s="472">
        <f t="shared" si="39"/>
        <v>0</v>
      </c>
      <c r="S98" s="472">
        <f t="shared" si="40"/>
        <v>0</v>
      </c>
      <c r="T98" s="472">
        <f t="shared" si="41"/>
        <v>0</v>
      </c>
      <c r="U98" s="47" t="s">
        <v>145</v>
      </c>
      <c r="V98" s="36">
        <v>601</v>
      </c>
      <c r="W98" s="36" t="s">
        <v>98</v>
      </c>
      <c r="X98" s="36">
        <v>13</v>
      </c>
      <c r="Y98" s="36" t="s">
        <v>816</v>
      </c>
      <c r="Z98" s="36" t="s">
        <v>153</v>
      </c>
      <c r="AA98" s="12" t="b">
        <f t="shared" si="42"/>
        <v>1</v>
      </c>
      <c r="AB98" s="12" t="b">
        <f t="shared" si="43"/>
        <v>1</v>
      </c>
      <c r="AC98" s="12" t="b">
        <f t="shared" si="44"/>
        <v>1</v>
      </c>
      <c r="AD98" s="12" t="b">
        <f t="shared" si="45"/>
        <v>1</v>
      </c>
      <c r="AE98" s="12" t="b">
        <f t="shared" si="46"/>
        <v>1</v>
      </c>
      <c r="AF98" s="12" t="b">
        <f t="shared" si="47"/>
        <v>1</v>
      </c>
    </row>
    <row r="99" spans="1:32" s="12" customFormat="1" ht="15.75" customHeight="1">
      <c r="A99" s="285"/>
      <c r="B99" s="22" t="s">
        <v>668</v>
      </c>
      <c r="C99" s="59">
        <v>601</v>
      </c>
      <c r="D99" s="56" t="s">
        <v>98</v>
      </c>
      <c r="E99" s="56">
        <v>13</v>
      </c>
      <c r="F99" s="56" t="s">
        <v>259</v>
      </c>
      <c r="G99" s="56" t="s">
        <v>90</v>
      </c>
      <c r="H99" s="60">
        <f>H103+H106+H100</f>
        <v>351.27</v>
      </c>
      <c r="I99" s="60">
        <f>I103+I106+I100</f>
        <v>351.27</v>
      </c>
      <c r="J99" s="60">
        <f>J103+J106+J100</f>
        <v>351.27</v>
      </c>
      <c r="K99" s="60">
        <v>351.27</v>
      </c>
      <c r="L99" s="60">
        <v>351.27</v>
      </c>
      <c r="M99" s="60">
        <v>351.27</v>
      </c>
      <c r="N99" s="60"/>
      <c r="O99" s="60">
        <v>351.27</v>
      </c>
      <c r="P99" s="60">
        <v>351.27</v>
      </c>
      <c r="Q99" s="60">
        <v>351.27</v>
      </c>
      <c r="R99" s="472">
        <f t="shared" si="39"/>
        <v>0</v>
      </c>
      <c r="S99" s="472">
        <f t="shared" si="40"/>
        <v>0</v>
      </c>
      <c r="T99" s="472">
        <f t="shared" si="41"/>
        <v>0</v>
      </c>
      <c r="U99" s="22" t="s">
        <v>668</v>
      </c>
      <c r="V99" s="59">
        <v>601</v>
      </c>
      <c r="W99" s="56" t="s">
        <v>98</v>
      </c>
      <c r="X99" s="56">
        <v>13</v>
      </c>
      <c r="Y99" s="56" t="s">
        <v>259</v>
      </c>
      <c r="Z99" s="56" t="s">
        <v>90</v>
      </c>
      <c r="AA99" s="12" t="b">
        <f t="shared" si="42"/>
        <v>1</v>
      </c>
      <c r="AB99" s="12" t="b">
        <f t="shared" si="43"/>
        <v>1</v>
      </c>
      <c r="AC99" s="12" t="b">
        <f t="shared" si="44"/>
        <v>1</v>
      </c>
      <c r="AD99" s="12" t="b">
        <f t="shared" si="45"/>
        <v>1</v>
      </c>
      <c r="AE99" s="12" t="b">
        <f t="shared" si="46"/>
        <v>1</v>
      </c>
      <c r="AF99" s="12" t="b">
        <f t="shared" si="47"/>
        <v>1</v>
      </c>
    </row>
    <row r="100" spans="1:32" s="12" customFormat="1" ht="15.75" customHeight="1">
      <c r="A100" s="285"/>
      <c r="B100" s="54" t="s">
        <v>679</v>
      </c>
      <c r="C100" s="89">
        <v>601</v>
      </c>
      <c r="D100" s="36" t="s">
        <v>98</v>
      </c>
      <c r="E100" s="36">
        <v>13</v>
      </c>
      <c r="F100" s="36" t="s">
        <v>308</v>
      </c>
      <c r="G100" s="36" t="s">
        <v>90</v>
      </c>
      <c r="H100" s="60">
        <f t="shared" ref="H100:J101" si="53">H101</f>
        <v>74.97</v>
      </c>
      <c r="I100" s="60">
        <f t="shared" si="53"/>
        <v>74.97</v>
      </c>
      <c r="J100" s="60">
        <f t="shared" si="53"/>
        <v>74.97</v>
      </c>
      <c r="K100" s="60">
        <v>74.97</v>
      </c>
      <c r="L100" s="60">
        <v>74.97</v>
      </c>
      <c r="M100" s="60">
        <v>74.97</v>
      </c>
      <c r="N100" s="60"/>
      <c r="O100" s="60">
        <v>74.97</v>
      </c>
      <c r="P100" s="60">
        <v>74.97</v>
      </c>
      <c r="Q100" s="60">
        <v>74.97</v>
      </c>
      <c r="R100" s="472">
        <f t="shared" si="39"/>
        <v>0</v>
      </c>
      <c r="S100" s="472">
        <f t="shared" si="40"/>
        <v>0</v>
      </c>
      <c r="T100" s="472">
        <f t="shared" si="41"/>
        <v>0</v>
      </c>
      <c r="U100" s="54" t="s">
        <v>679</v>
      </c>
      <c r="V100" s="89">
        <v>601</v>
      </c>
      <c r="W100" s="36" t="s">
        <v>98</v>
      </c>
      <c r="X100" s="36">
        <v>13</v>
      </c>
      <c r="Y100" s="36" t="s">
        <v>308</v>
      </c>
      <c r="Z100" s="36" t="s">
        <v>90</v>
      </c>
      <c r="AA100" s="12" t="b">
        <f t="shared" si="42"/>
        <v>1</v>
      </c>
      <c r="AB100" s="12" t="b">
        <f t="shared" si="43"/>
        <v>1</v>
      </c>
      <c r="AC100" s="12" t="b">
        <f t="shared" si="44"/>
        <v>1</v>
      </c>
      <c r="AD100" s="12" t="b">
        <f t="shared" si="45"/>
        <v>1</v>
      </c>
      <c r="AE100" s="12" t="b">
        <f t="shared" si="46"/>
        <v>1</v>
      </c>
      <c r="AF100" s="12" t="b">
        <f t="shared" si="47"/>
        <v>1</v>
      </c>
    </row>
    <row r="101" spans="1:32" s="12" customFormat="1" ht="15.75" customHeight="1">
      <c r="A101" s="285"/>
      <c r="B101" s="54" t="s">
        <v>810</v>
      </c>
      <c r="C101" s="89">
        <v>601</v>
      </c>
      <c r="D101" s="36" t="s">
        <v>98</v>
      </c>
      <c r="E101" s="36">
        <v>13</v>
      </c>
      <c r="F101" s="36" t="s">
        <v>895</v>
      </c>
      <c r="G101" s="36" t="s">
        <v>90</v>
      </c>
      <c r="H101" s="183">
        <f t="shared" si="53"/>
        <v>74.97</v>
      </c>
      <c r="I101" s="183">
        <f t="shared" si="53"/>
        <v>74.97</v>
      </c>
      <c r="J101" s="183">
        <f t="shared" si="53"/>
        <v>74.97</v>
      </c>
      <c r="K101" s="183">
        <v>74.97</v>
      </c>
      <c r="L101" s="183">
        <v>74.97</v>
      </c>
      <c r="M101" s="183">
        <v>74.97</v>
      </c>
      <c r="N101" s="183"/>
      <c r="O101" s="183">
        <v>74.97</v>
      </c>
      <c r="P101" s="183">
        <v>74.97</v>
      </c>
      <c r="Q101" s="183">
        <v>74.97</v>
      </c>
      <c r="R101" s="472">
        <f t="shared" si="39"/>
        <v>0</v>
      </c>
      <c r="S101" s="472">
        <f t="shared" si="40"/>
        <v>0</v>
      </c>
      <c r="T101" s="472">
        <f t="shared" si="41"/>
        <v>0</v>
      </c>
      <c r="U101" s="54" t="s">
        <v>810</v>
      </c>
      <c r="V101" s="89">
        <v>601</v>
      </c>
      <c r="W101" s="36" t="s">
        <v>98</v>
      </c>
      <c r="X101" s="36">
        <v>13</v>
      </c>
      <c r="Y101" s="36" t="s">
        <v>895</v>
      </c>
      <c r="Z101" s="36" t="s">
        <v>90</v>
      </c>
      <c r="AA101" s="12" t="b">
        <f t="shared" si="42"/>
        <v>1</v>
      </c>
      <c r="AB101" s="12" t="b">
        <f t="shared" si="43"/>
        <v>1</v>
      </c>
      <c r="AC101" s="12" t="b">
        <f t="shared" si="44"/>
        <v>1</v>
      </c>
      <c r="AD101" s="12" t="b">
        <f t="shared" si="45"/>
        <v>1</v>
      </c>
      <c r="AE101" s="12" t="b">
        <f t="shared" si="46"/>
        <v>1</v>
      </c>
      <c r="AF101" s="12" t="b">
        <f t="shared" si="47"/>
        <v>1</v>
      </c>
    </row>
    <row r="102" spans="1:32" s="12" customFormat="1" ht="15.75" customHeight="1">
      <c r="A102" s="285"/>
      <c r="B102" s="182" t="s">
        <v>145</v>
      </c>
      <c r="C102" s="89">
        <v>601</v>
      </c>
      <c r="D102" s="36" t="s">
        <v>98</v>
      </c>
      <c r="E102" s="36">
        <v>13</v>
      </c>
      <c r="F102" s="36" t="s">
        <v>895</v>
      </c>
      <c r="G102" s="36" t="s">
        <v>153</v>
      </c>
      <c r="H102" s="183">
        <v>74.97</v>
      </c>
      <c r="I102" s="183">
        <v>74.97</v>
      </c>
      <c r="J102" s="183">
        <v>74.97</v>
      </c>
      <c r="K102" s="183">
        <v>74.97</v>
      </c>
      <c r="L102" s="183">
        <v>74.97</v>
      </c>
      <c r="M102" s="183">
        <v>74.97</v>
      </c>
      <c r="N102" s="183"/>
      <c r="O102" s="183">
        <v>74.97</v>
      </c>
      <c r="P102" s="183">
        <v>74.97</v>
      </c>
      <c r="Q102" s="183">
        <v>74.97</v>
      </c>
      <c r="R102" s="472">
        <f t="shared" si="39"/>
        <v>0</v>
      </c>
      <c r="S102" s="472">
        <f t="shared" si="40"/>
        <v>0</v>
      </c>
      <c r="T102" s="472">
        <f t="shared" si="41"/>
        <v>0</v>
      </c>
      <c r="U102" s="182" t="s">
        <v>145</v>
      </c>
      <c r="V102" s="89">
        <v>601</v>
      </c>
      <c r="W102" s="36" t="s">
        <v>98</v>
      </c>
      <c r="X102" s="36">
        <v>13</v>
      </c>
      <c r="Y102" s="36" t="s">
        <v>895</v>
      </c>
      <c r="Z102" s="36" t="s">
        <v>153</v>
      </c>
      <c r="AA102" s="12" t="b">
        <f t="shared" si="42"/>
        <v>1</v>
      </c>
      <c r="AB102" s="12" t="b">
        <f t="shared" si="43"/>
        <v>1</v>
      </c>
      <c r="AC102" s="12" t="b">
        <f t="shared" si="44"/>
        <v>1</v>
      </c>
      <c r="AD102" s="12" t="b">
        <f t="shared" si="45"/>
        <v>1</v>
      </c>
      <c r="AE102" s="12" t="b">
        <f t="shared" si="46"/>
        <v>1</v>
      </c>
      <c r="AF102" s="12" t="b">
        <f t="shared" si="47"/>
        <v>1</v>
      </c>
    </row>
    <row r="103" spans="1:32" s="12" customFormat="1" ht="15.75" customHeight="1">
      <c r="A103" s="285"/>
      <c r="B103" s="54" t="s">
        <v>528</v>
      </c>
      <c r="C103" s="89">
        <v>601</v>
      </c>
      <c r="D103" s="36" t="s">
        <v>98</v>
      </c>
      <c r="E103" s="36">
        <v>13</v>
      </c>
      <c r="F103" s="36" t="s">
        <v>469</v>
      </c>
      <c r="G103" s="37" t="s">
        <v>90</v>
      </c>
      <c r="H103" s="183">
        <f t="shared" ref="H103:J104" si="54">H104</f>
        <v>13.5</v>
      </c>
      <c r="I103" s="183">
        <f t="shared" si="54"/>
        <v>13.5</v>
      </c>
      <c r="J103" s="183">
        <f t="shared" si="54"/>
        <v>13.5</v>
      </c>
      <c r="K103" s="183">
        <v>13.5</v>
      </c>
      <c r="L103" s="183">
        <v>13.5</v>
      </c>
      <c r="M103" s="183">
        <v>13.5</v>
      </c>
      <c r="N103" s="183"/>
      <c r="O103" s="183">
        <v>13.5</v>
      </c>
      <c r="P103" s="183">
        <v>13.5</v>
      </c>
      <c r="Q103" s="183">
        <v>13.5</v>
      </c>
      <c r="R103" s="472">
        <f t="shared" si="39"/>
        <v>0</v>
      </c>
      <c r="S103" s="472">
        <f t="shared" si="40"/>
        <v>0</v>
      </c>
      <c r="T103" s="472">
        <f t="shared" si="41"/>
        <v>0</v>
      </c>
      <c r="U103" s="54" t="s">
        <v>528</v>
      </c>
      <c r="V103" s="89">
        <v>601</v>
      </c>
      <c r="W103" s="36" t="s">
        <v>98</v>
      </c>
      <c r="X103" s="36">
        <v>13</v>
      </c>
      <c r="Y103" s="36" t="s">
        <v>469</v>
      </c>
      <c r="Z103" s="37" t="s">
        <v>90</v>
      </c>
      <c r="AA103" s="12" t="b">
        <f t="shared" si="42"/>
        <v>1</v>
      </c>
      <c r="AB103" s="12" t="b">
        <f t="shared" si="43"/>
        <v>1</v>
      </c>
      <c r="AC103" s="12" t="b">
        <f t="shared" si="44"/>
        <v>1</v>
      </c>
      <c r="AD103" s="12" t="b">
        <f t="shared" si="45"/>
        <v>1</v>
      </c>
      <c r="AE103" s="12" t="b">
        <f t="shared" si="46"/>
        <v>1</v>
      </c>
      <c r="AF103" s="12" t="b">
        <f t="shared" si="47"/>
        <v>1</v>
      </c>
    </row>
    <row r="104" spans="1:32" s="12" customFormat="1" ht="15.75" customHeight="1">
      <c r="A104" s="285"/>
      <c r="B104" s="54" t="s">
        <v>810</v>
      </c>
      <c r="C104" s="89">
        <v>601</v>
      </c>
      <c r="D104" s="36" t="s">
        <v>98</v>
      </c>
      <c r="E104" s="36">
        <v>13</v>
      </c>
      <c r="F104" s="36" t="s">
        <v>892</v>
      </c>
      <c r="G104" s="37" t="s">
        <v>90</v>
      </c>
      <c r="H104" s="183">
        <f t="shared" si="54"/>
        <v>13.5</v>
      </c>
      <c r="I104" s="183">
        <f t="shared" si="54"/>
        <v>13.5</v>
      </c>
      <c r="J104" s="183">
        <f t="shared" si="54"/>
        <v>13.5</v>
      </c>
      <c r="K104" s="183">
        <v>13.5</v>
      </c>
      <c r="L104" s="183">
        <v>13.5</v>
      </c>
      <c r="M104" s="183">
        <v>13.5</v>
      </c>
      <c r="N104" s="183"/>
      <c r="O104" s="183">
        <v>13.5</v>
      </c>
      <c r="P104" s="183">
        <v>13.5</v>
      </c>
      <c r="Q104" s="183">
        <v>13.5</v>
      </c>
      <c r="R104" s="472">
        <f t="shared" si="39"/>
        <v>0</v>
      </c>
      <c r="S104" s="472">
        <f t="shared" si="40"/>
        <v>0</v>
      </c>
      <c r="T104" s="472">
        <f t="shared" si="41"/>
        <v>0</v>
      </c>
      <c r="U104" s="54" t="s">
        <v>810</v>
      </c>
      <c r="V104" s="89">
        <v>601</v>
      </c>
      <c r="W104" s="36" t="s">
        <v>98</v>
      </c>
      <c r="X104" s="36">
        <v>13</v>
      </c>
      <c r="Y104" s="36" t="s">
        <v>892</v>
      </c>
      <c r="Z104" s="37" t="s">
        <v>90</v>
      </c>
      <c r="AA104" s="12" t="b">
        <f t="shared" si="42"/>
        <v>1</v>
      </c>
      <c r="AB104" s="12" t="b">
        <f t="shared" si="43"/>
        <v>1</v>
      </c>
      <c r="AC104" s="12" t="b">
        <f t="shared" si="44"/>
        <v>1</v>
      </c>
      <c r="AD104" s="12" t="b">
        <f t="shared" si="45"/>
        <v>1</v>
      </c>
      <c r="AE104" s="12" t="b">
        <f t="shared" si="46"/>
        <v>1</v>
      </c>
      <c r="AF104" s="12" t="b">
        <f t="shared" si="47"/>
        <v>1</v>
      </c>
    </row>
    <row r="105" spans="1:32" s="12" customFormat="1" ht="15.75" customHeight="1">
      <c r="A105" s="285"/>
      <c r="B105" s="182" t="s">
        <v>145</v>
      </c>
      <c r="C105" s="89">
        <v>601</v>
      </c>
      <c r="D105" s="36" t="s">
        <v>98</v>
      </c>
      <c r="E105" s="36">
        <v>13</v>
      </c>
      <c r="F105" s="36" t="s">
        <v>892</v>
      </c>
      <c r="G105" s="37" t="s">
        <v>153</v>
      </c>
      <c r="H105" s="183">
        <v>13.5</v>
      </c>
      <c r="I105" s="183">
        <v>13.5</v>
      </c>
      <c r="J105" s="183">
        <v>13.5</v>
      </c>
      <c r="K105" s="183">
        <v>13.5</v>
      </c>
      <c r="L105" s="183">
        <v>13.5</v>
      </c>
      <c r="M105" s="183">
        <v>13.5</v>
      </c>
      <c r="N105" s="183"/>
      <c r="O105" s="183">
        <v>13.5</v>
      </c>
      <c r="P105" s="183">
        <v>13.5</v>
      </c>
      <c r="Q105" s="183">
        <v>13.5</v>
      </c>
      <c r="R105" s="472">
        <f t="shared" si="39"/>
        <v>0</v>
      </c>
      <c r="S105" s="472">
        <f t="shared" si="40"/>
        <v>0</v>
      </c>
      <c r="T105" s="472">
        <f t="shared" si="41"/>
        <v>0</v>
      </c>
      <c r="U105" s="182" t="s">
        <v>145</v>
      </c>
      <c r="V105" s="89">
        <v>601</v>
      </c>
      <c r="W105" s="36" t="s">
        <v>98</v>
      </c>
      <c r="X105" s="36">
        <v>13</v>
      </c>
      <c r="Y105" s="36" t="s">
        <v>892</v>
      </c>
      <c r="Z105" s="37" t="s">
        <v>153</v>
      </c>
      <c r="AA105" s="12" t="b">
        <f t="shared" si="42"/>
        <v>1</v>
      </c>
      <c r="AB105" s="12" t="b">
        <f t="shared" si="43"/>
        <v>1</v>
      </c>
      <c r="AC105" s="12" t="b">
        <f t="shared" si="44"/>
        <v>1</v>
      </c>
      <c r="AD105" s="12" t="b">
        <f t="shared" si="45"/>
        <v>1</v>
      </c>
      <c r="AE105" s="12" t="b">
        <f t="shared" si="46"/>
        <v>1</v>
      </c>
      <c r="AF105" s="12" t="b">
        <f t="shared" si="47"/>
        <v>1</v>
      </c>
    </row>
    <row r="106" spans="1:32" s="12" customFormat="1" ht="15.75" customHeight="1">
      <c r="A106" s="285"/>
      <c r="B106" s="54" t="s">
        <v>532</v>
      </c>
      <c r="C106" s="89">
        <v>601</v>
      </c>
      <c r="D106" s="36" t="s">
        <v>98</v>
      </c>
      <c r="E106" s="36">
        <v>13</v>
      </c>
      <c r="F106" s="36" t="s">
        <v>260</v>
      </c>
      <c r="G106" s="37" t="s">
        <v>90</v>
      </c>
      <c r="H106" s="183">
        <f t="shared" ref="H106:J107" si="55">H107</f>
        <v>262.8</v>
      </c>
      <c r="I106" s="183">
        <f t="shared" si="55"/>
        <v>262.8</v>
      </c>
      <c r="J106" s="183">
        <f t="shared" si="55"/>
        <v>262.8</v>
      </c>
      <c r="K106" s="183">
        <v>262.8</v>
      </c>
      <c r="L106" s="183">
        <v>262.8</v>
      </c>
      <c r="M106" s="183">
        <v>262.8</v>
      </c>
      <c r="N106" s="183"/>
      <c r="O106" s="183">
        <v>262.8</v>
      </c>
      <c r="P106" s="183">
        <v>262.8</v>
      </c>
      <c r="Q106" s="183">
        <v>262.8</v>
      </c>
      <c r="R106" s="472">
        <f t="shared" si="39"/>
        <v>0</v>
      </c>
      <c r="S106" s="472">
        <f t="shared" si="40"/>
        <v>0</v>
      </c>
      <c r="T106" s="472">
        <f t="shared" si="41"/>
        <v>0</v>
      </c>
      <c r="U106" s="54" t="s">
        <v>532</v>
      </c>
      <c r="V106" s="89">
        <v>601</v>
      </c>
      <c r="W106" s="36" t="s">
        <v>98</v>
      </c>
      <c r="X106" s="36">
        <v>13</v>
      </c>
      <c r="Y106" s="36" t="s">
        <v>260</v>
      </c>
      <c r="Z106" s="37" t="s">
        <v>90</v>
      </c>
      <c r="AA106" s="12" t="b">
        <f t="shared" si="42"/>
        <v>1</v>
      </c>
      <c r="AB106" s="12" t="b">
        <f t="shared" si="43"/>
        <v>1</v>
      </c>
      <c r="AC106" s="12" t="b">
        <f t="shared" si="44"/>
        <v>1</v>
      </c>
      <c r="AD106" s="12" t="b">
        <f t="shared" si="45"/>
        <v>1</v>
      </c>
      <c r="AE106" s="12" t="b">
        <f t="shared" si="46"/>
        <v>1</v>
      </c>
      <c r="AF106" s="12" t="b">
        <f t="shared" si="47"/>
        <v>1</v>
      </c>
    </row>
    <row r="107" spans="1:32" s="12" customFormat="1" ht="15.75" customHeight="1">
      <c r="A107" s="285"/>
      <c r="B107" s="54" t="s">
        <v>810</v>
      </c>
      <c r="C107" s="89">
        <v>601</v>
      </c>
      <c r="D107" s="36" t="s">
        <v>98</v>
      </c>
      <c r="E107" s="36">
        <v>13</v>
      </c>
      <c r="F107" s="36" t="s">
        <v>896</v>
      </c>
      <c r="G107" s="37" t="s">
        <v>90</v>
      </c>
      <c r="H107" s="183">
        <f t="shared" si="55"/>
        <v>262.8</v>
      </c>
      <c r="I107" s="183">
        <f t="shared" si="55"/>
        <v>262.8</v>
      </c>
      <c r="J107" s="183">
        <f t="shared" si="55"/>
        <v>262.8</v>
      </c>
      <c r="K107" s="183">
        <v>262.8</v>
      </c>
      <c r="L107" s="183">
        <v>262.8</v>
      </c>
      <c r="M107" s="183">
        <v>262.8</v>
      </c>
      <c r="N107" s="183"/>
      <c r="O107" s="183">
        <v>262.8</v>
      </c>
      <c r="P107" s="183">
        <v>262.8</v>
      </c>
      <c r="Q107" s="183">
        <v>262.8</v>
      </c>
      <c r="R107" s="472">
        <f t="shared" si="39"/>
        <v>0</v>
      </c>
      <c r="S107" s="472">
        <f t="shared" si="40"/>
        <v>0</v>
      </c>
      <c r="T107" s="472">
        <f t="shared" si="41"/>
        <v>0</v>
      </c>
      <c r="U107" s="54" t="s">
        <v>810</v>
      </c>
      <c r="V107" s="89">
        <v>601</v>
      </c>
      <c r="W107" s="36" t="s">
        <v>98</v>
      </c>
      <c r="X107" s="36">
        <v>13</v>
      </c>
      <c r="Y107" s="36" t="s">
        <v>896</v>
      </c>
      <c r="Z107" s="37" t="s">
        <v>90</v>
      </c>
      <c r="AA107" s="12" t="b">
        <f t="shared" si="42"/>
        <v>1</v>
      </c>
      <c r="AB107" s="12" t="b">
        <f t="shared" si="43"/>
        <v>1</v>
      </c>
      <c r="AC107" s="12" t="b">
        <f t="shared" si="44"/>
        <v>1</v>
      </c>
      <c r="AD107" s="12" t="b">
        <f t="shared" si="45"/>
        <v>1</v>
      </c>
      <c r="AE107" s="12" t="b">
        <f t="shared" si="46"/>
        <v>1</v>
      </c>
      <c r="AF107" s="12" t="b">
        <f t="shared" si="47"/>
        <v>1</v>
      </c>
    </row>
    <row r="108" spans="1:32" s="12" customFormat="1" ht="15.75" customHeight="1">
      <c r="A108" s="285"/>
      <c r="B108" s="182" t="s">
        <v>145</v>
      </c>
      <c r="C108" s="89">
        <v>601</v>
      </c>
      <c r="D108" s="36" t="s">
        <v>98</v>
      </c>
      <c r="E108" s="36">
        <v>13</v>
      </c>
      <c r="F108" s="36" t="s">
        <v>896</v>
      </c>
      <c r="G108" s="37" t="s">
        <v>153</v>
      </c>
      <c r="H108" s="183">
        <v>262.8</v>
      </c>
      <c r="I108" s="183">
        <v>262.8</v>
      </c>
      <c r="J108" s="183">
        <v>262.8</v>
      </c>
      <c r="K108" s="183">
        <v>262.8</v>
      </c>
      <c r="L108" s="183">
        <v>262.8</v>
      </c>
      <c r="M108" s="183">
        <v>262.8</v>
      </c>
      <c r="N108" s="183"/>
      <c r="O108" s="183">
        <v>262.8</v>
      </c>
      <c r="P108" s="183">
        <v>262.8</v>
      </c>
      <c r="Q108" s="183">
        <v>262.8</v>
      </c>
      <c r="R108" s="472">
        <f t="shared" si="39"/>
        <v>0</v>
      </c>
      <c r="S108" s="472">
        <f t="shared" si="40"/>
        <v>0</v>
      </c>
      <c r="T108" s="472">
        <f t="shared" si="41"/>
        <v>0</v>
      </c>
      <c r="U108" s="182" t="s">
        <v>145</v>
      </c>
      <c r="V108" s="89">
        <v>601</v>
      </c>
      <c r="W108" s="36" t="s">
        <v>98</v>
      </c>
      <c r="X108" s="36">
        <v>13</v>
      </c>
      <c r="Y108" s="36" t="s">
        <v>896</v>
      </c>
      <c r="Z108" s="37" t="s">
        <v>153</v>
      </c>
      <c r="AA108" s="12" t="b">
        <f t="shared" si="42"/>
        <v>1</v>
      </c>
      <c r="AB108" s="12" t="b">
        <f t="shared" si="43"/>
        <v>1</v>
      </c>
      <c r="AC108" s="12" t="b">
        <f t="shared" si="44"/>
        <v>1</v>
      </c>
      <c r="AD108" s="12" t="b">
        <f t="shared" si="45"/>
        <v>1</v>
      </c>
      <c r="AE108" s="12" t="b">
        <f t="shared" si="46"/>
        <v>1</v>
      </c>
      <c r="AF108" s="12" t="b">
        <f t="shared" si="47"/>
        <v>1</v>
      </c>
    </row>
    <row r="109" spans="1:32" s="12" customFormat="1" ht="15.75" customHeight="1">
      <c r="A109" s="285"/>
      <c r="B109" s="182" t="s">
        <v>673</v>
      </c>
      <c r="C109" s="36" t="s">
        <v>87</v>
      </c>
      <c r="D109" s="37" t="s">
        <v>98</v>
      </c>
      <c r="E109" s="37" t="s">
        <v>124</v>
      </c>
      <c r="F109" s="37" t="s">
        <v>261</v>
      </c>
      <c r="G109" s="37" t="s">
        <v>90</v>
      </c>
      <c r="H109" s="183">
        <f t="shared" ref="H109:J112" si="56">H110</f>
        <v>2852.2</v>
      </c>
      <c r="I109" s="183">
        <f t="shared" si="56"/>
        <v>2852.2</v>
      </c>
      <c r="J109" s="183">
        <f t="shared" si="56"/>
        <v>2852.2</v>
      </c>
      <c r="K109" s="183">
        <v>2852.2</v>
      </c>
      <c r="L109" s="183">
        <v>2852.2</v>
      </c>
      <c r="M109" s="183">
        <v>2852.2</v>
      </c>
      <c r="N109" s="183"/>
      <c r="O109" s="183">
        <v>2852.2</v>
      </c>
      <c r="P109" s="183">
        <v>2852.2</v>
      </c>
      <c r="Q109" s="183">
        <v>2852.2</v>
      </c>
      <c r="R109" s="472">
        <f t="shared" si="39"/>
        <v>0</v>
      </c>
      <c r="S109" s="472">
        <f t="shared" si="40"/>
        <v>0</v>
      </c>
      <c r="T109" s="472">
        <f t="shared" si="41"/>
        <v>0</v>
      </c>
      <c r="U109" s="182" t="s">
        <v>673</v>
      </c>
      <c r="V109" s="36" t="s">
        <v>87</v>
      </c>
      <c r="W109" s="37" t="s">
        <v>98</v>
      </c>
      <c r="X109" s="37" t="s">
        <v>124</v>
      </c>
      <c r="Y109" s="37" t="s">
        <v>261</v>
      </c>
      <c r="Z109" s="37" t="s">
        <v>90</v>
      </c>
      <c r="AA109" s="12" t="b">
        <f t="shared" si="42"/>
        <v>1</v>
      </c>
      <c r="AB109" s="12" t="b">
        <f t="shared" si="43"/>
        <v>1</v>
      </c>
      <c r="AC109" s="12" t="b">
        <f t="shared" si="44"/>
        <v>1</v>
      </c>
      <c r="AD109" s="12" t="b">
        <f t="shared" si="45"/>
        <v>1</v>
      </c>
      <c r="AE109" s="12" t="b">
        <f t="shared" si="46"/>
        <v>1</v>
      </c>
      <c r="AF109" s="12" t="b">
        <f t="shared" si="47"/>
        <v>1</v>
      </c>
    </row>
    <row r="110" spans="1:32" s="12" customFormat="1" ht="15.75" customHeight="1">
      <c r="A110" s="285"/>
      <c r="B110" s="182" t="s">
        <v>674</v>
      </c>
      <c r="C110" s="36" t="s">
        <v>87</v>
      </c>
      <c r="D110" s="37" t="s">
        <v>98</v>
      </c>
      <c r="E110" s="37" t="s">
        <v>124</v>
      </c>
      <c r="F110" s="37" t="s">
        <v>262</v>
      </c>
      <c r="G110" s="37" t="s">
        <v>90</v>
      </c>
      <c r="H110" s="183">
        <f t="shared" si="56"/>
        <v>2852.2</v>
      </c>
      <c r="I110" s="183">
        <f t="shared" si="56"/>
        <v>2852.2</v>
      </c>
      <c r="J110" s="183">
        <f t="shared" si="56"/>
        <v>2852.2</v>
      </c>
      <c r="K110" s="183">
        <v>2852.2</v>
      </c>
      <c r="L110" s="183">
        <v>2852.2</v>
      </c>
      <c r="M110" s="183">
        <v>2852.2</v>
      </c>
      <c r="N110" s="183"/>
      <c r="O110" s="183">
        <v>2852.2</v>
      </c>
      <c r="P110" s="183">
        <v>2852.2</v>
      </c>
      <c r="Q110" s="183">
        <v>2852.2</v>
      </c>
      <c r="R110" s="472">
        <f t="shared" si="39"/>
        <v>0</v>
      </c>
      <c r="S110" s="472">
        <f t="shared" si="40"/>
        <v>0</v>
      </c>
      <c r="T110" s="472">
        <f t="shared" si="41"/>
        <v>0</v>
      </c>
      <c r="U110" s="182" t="s">
        <v>674</v>
      </c>
      <c r="V110" s="36" t="s">
        <v>87</v>
      </c>
      <c r="W110" s="37" t="s">
        <v>98</v>
      </c>
      <c r="X110" s="37" t="s">
        <v>124</v>
      </c>
      <c r="Y110" s="37" t="s">
        <v>262</v>
      </c>
      <c r="Z110" s="37" t="s">
        <v>90</v>
      </c>
      <c r="AA110" s="12" t="b">
        <f t="shared" si="42"/>
        <v>1</v>
      </c>
      <c r="AB110" s="12" t="b">
        <f t="shared" si="43"/>
        <v>1</v>
      </c>
      <c r="AC110" s="12" t="b">
        <f t="shared" si="44"/>
        <v>1</v>
      </c>
      <c r="AD110" s="12" t="b">
        <f t="shared" si="45"/>
        <v>1</v>
      </c>
      <c r="AE110" s="12" t="b">
        <f t="shared" si="46"/>
        <v>1</v>
      </c>
      <c r="AF110" s="12" t="b">
        <f t="shared" si="47"/>
        <v>1</v>
      </c>
    </row>
    <row r="111" spans="1:32" s="12" customFormat="1" ht="15.75" customHeight="1">
      <c r="A111" s="285"/>
      <c r="B111" s="54" t="s">
        <v>263</v>
      </c>
      <c r="C111" s="36" t="s">
        <v>87</v>
      </c>
      <c r="D111" s="37" t="s">
        <v>98</v>
      </c>
      <c r="E111" s="37" t="s">
        <v>124</v>
      </c>
      <c r="F111" s="37" t="s">
        <v>264</v>
      </c>
      <c r="G111" s="37" t="s">
        <v>90</v>
      </c>
      <c r="H111" s="183">
        <f t="shared" si="56"/>
        <v>2852.2</v>
      </c>
      <c r="I111" s="183">
        <f t="shared" si="56"/>
        <v>2852.2</v>
      </c>
      <c r="J111" s="183">
        <f t="shared" si="56"/>
        <v>2852.2</v>
      </c>
      <c r="K111" s="183">
        <v>2852.2</v>
      </c>
      <c r="L111" s="183">
        <v>2852.2</v>
      </c>
      <c r="M111" s="183">
        <v>2852.2</v>
      </c>
      <c r="N111" s="183"/>
      <c r="O111" s="183">
        <v>2852.2</v>
      </c>
      <c r="P111" s="183">
        <v>2852.2</v>
      </c>
      <c r="Q111" s="183">
        <v>2852.2</v>
      </c>
      <c r="R111" s="472">
        <f t="shared" si="39"/>
        <v>0</v>
      </c>
      <c r="S111" s="472">
        <f t="shared" si="40"/>
        <v>0</v>
      </c>
      <c r="T111" s="472">
        <f t="shared" si="41"/>
        <v>0</v>
      </c>
      <c r="U111" s="54" t="s">
        <v>263</v>
      </c>
      <c r="V111" s="36" t="s">
        <v>87</v>
      </c>
      <c r="W111" s="37" t="s">
        <v>98</v>
      </c>
      <c r="X111" s="37" t="s">
        <v>124</v>
      </c>
      <c r="Y111" s="37" t="s">
        <v>264</v>
      </c>
      <c r="Z111" s="37" t="s">
        <v>90</v>
      </c>
      <c r="AA111" s="12" t="b">
        <f t="shared" si="42"/>
        <v>1</v>
      </c>
      <c r="AB111" s="12" t="b">
        <f t="shared" si="43"/>
        <v>1</v>
      </c>
      <c r="AC111" s="12" t="b">
        <f t="shared" si="44"/>
        <v>1</v>
      </c>
      <c r="AD111" s="12" t="b">
        <f t="shared" si="45"/>
        <v>1</v>
      </c>
      <c r="AE111" s="12" t="b">
        <f t="shared" si="46"/>
        <v>1</v>
      </c>
      <c r="AF111" s="12" t="b">
        <f t="shared" si="47"/>
        <v>1</v>
      </c>
    </row>
    <row r="112" spans="1:32" s="12" customFormat="1" ht="15.75" customHeight="1">
      <c r="A112" s="285"/>
      <c r="B112" s="182" t="s">
        <v>589</v>
      </c>
      <c r="C112" s="36" t="s">
        <v>87</v>
      </c>
      <c r="D112" s="37" t="s">
        <v>98</v>
      </c>
      <c r="E112" s="37" t="s">
        <v>124</v>
      </c>
      <c r="F112" s="37" t="s">
        <v>265</v>
      </c>
      <c r="G112" s="37" t="s">
        <v>90</v>
      </c>
      <c r="H112" s="183">
        <f t="shared" si="56"/>
        <v>2852.2</v>
      </c>
      <c r="I112" s="183">
        <f t="shared" si="56"/>
        <v>2852.2</v>
      </c>
      <c r="J112" s="183">
        <f t="shared" si="56"/>
        <v>2852.2</v>
      </c>
      <c r="K112" s="183">
        <v>2852.2</v>
      </c>
      <c r="L112" s="183">
        <v>2852.2</v>
      </c>
      <c r="M112" s="183">
        <v>2852.2</v>
      </c>
      <c r="N112" s="183"/>
      <c r="O112" s="183">
        <v>2852.2</v>
      </c>
      <c r="P112" s="183">
        <v>2852.2</v>
      </c>
      <c r="Q112" s="183">
        <v>2852.2</v>
      </c>
      <c r="R112" s="472">
        <f t="shared" si="39"/>
        <v>0</v>
      </c>
      <c r="S112" s="472">
        <f t="shared" si="40"/>
        <v>0</v>
      </c>
      <c r="T112" s="472">
        <f t="shared" si="41"/>
        <v>0</v>
      </c>
      <c r="U112" s="182" t="s">
        <v>589</v>
      </c>
      <c r="V112" s="36" t="s">
        <v>87</v>
      </c>
      <c r="W112" s="37" t="s">
        <v>98</v>
      </c>
      <c r="X112" s="37" t="s">
        <v>124</v>
      </c>
      <c r="Y112" s="37" t="s">
        <v>265</v>
      </c>
      <c r="Z112" s="37" t="s">
        <v>90</v>
      </c>
      <c r="AA112" s="12" t="b">
        <f t="shared" si="42"/>
        <v>1</v>
      </c>
      <c r="AB112" s="12" t="b">
        <f t="shared" si="43"/>
        <v>1</v>
      </c>
      <c r="AC112" s="12" t="b">
        <f t="shared" si="44"/>
        <v>1</v>
      </c>
      <c r="AD112" s="12" t="b">
        <f t="shared" si="45"/>
        <v>1</v>
      </c>
      <c r="AE112" s="12" t="b">
        <f t="shared" si="46"/>
        <v>1</v>
      </c>
      <c r="AF112" s="12" t="b">
        <f t="shared" si="47"/>
        <v>1</v>
      </c>
    </row>
    <row r="113" spans="1:32" s="12" customFormat="1" ht="15.75" customHeight="1">
      <c r="A113" s="285"/>
      <c r="B113" s="182" t="s">
        <v>983</v>
      </c>
      <c r="C113" s="36" t="s">
        <v>87</v>
      </c>
      <c r="D113" s="37" t="s">
        <v>98</v>
      </c>
      <c r="E113" s="37" t="s">
        <v>124</v>
      </c>
      <c r="F113" s="37" t="s">
        <v>265</v>
      </c>
      <c r="G113" s="37" t="s">
        <v>142</v>
      </c>
      <c r="H113" s="183">
        <v>2852.2</v>
      </c>
      <c r="I113" s="183">
        <v>2852.2</v>
      </c>
      <c r="J113" s="183">
        <v>2852.2</v>
      </c>
      <c r="K113" s="183">
        <v>2852.2</v>
      </c>
      <c r="L113" s="183">
        <v>2852.2</v>
      </c>
      <c r="M113" s="183">
        <v>2852.2</v>
      </c>
      <c r="N113" s="183"/>
      <c r="O113" s="183">
        <v>2852.2</v>
      </c>
      <c r="P113" s="183">
        <v>2852.2</v>
      </c>
      <c r="Q113" s="183">
        <v>2852.2</v>
      </c>
      <c r="R113" s="472">
        <f t="shared" si="39"/>
        <v>0</v>
      </c>
      <c r="S113" s="472">
        <f t="shared" si="40"/>
        <v>0</v>
      </c>
      <c r="T113" s="472">
        <f t="shared" si="41"/>
        <v>0</v>
      </c>
      <c r="U113" s="182" t="s">
        <v>983</v>
      </c>
      <c r="V113" s="36" t="s">
        <v>87</v>
      </c>
      <c r="W113" s="37" t="s">
        <v>98</v>
      </c>
      <c r="X113" s="37" t="s">
        <v>124</v>
      </c>
      <c r="Y113" s="37" t="s">
        <v>265</v>
      </c>
      <c r="Z113" s="37" t="s">
        <v>142</v>
      </c>
      <c r="AA113" s="12" t="b">
        <f t="shared" si="42"/>
        <v>1</v>
      </c>
      <c r="AB113" s="12" t="b">
        <f t="shared" si="43"/>
        <v>1</v>
      </c>
      <c r="AC113" s="12" t="b">
        <f t="shared" si="44"/>
        <v>1</v>
      </c>
      <c r="AD113" s="12" t="b">
        <f t="shared" si="45"/>
        <v>1</v>
      </c>
      <c r="AE113" s="12" t="b">
        <f t="shared" si="46"/>
        <v>1</v>
      </c>
      <c r="AF113" s="12" t="b">
        <f t="shared" si="47"/>
        <v>1</v>
      </c>
    </row>
    <row r="114" spans="1:32" s="12" customFormat="1" ht="15.75" customHeight="1">
      <c r="A114" s="285"/>
      <c r="B114" s="54" t="s">
        <v>149</v>
      </c>
      <c r="C114" s="56" t="s">
        <v>87</v>
      </c>
      <c r="D114" s="57" t="s">
        <v>98</v>
      </c>
      <c r="E114" s="57" t="s">
        <v>124</v>
      </c>
      <c r="F114" s="57" t="s">
        <v>233</v>
      </c>
      <c r="G114" s="57" t="s">
        <v>90</v>
      </c>
      <c r="H114" s="183">
        <f t="shared" ref="H114:J115" si="57">H115</f>
        <v>44623.15</v>
      </c>
      <c r="I114" s="183">
        <f t="shared" si="57"/>
        <v>44911.18</v>
      </c>
      <c r="J114" s="183">
        <f t="shared" si="57"/>
        <v>45210.73</v>
      </c>
      <c r="K114" s="183">
        <v>44623.15</v>
      </c>
      <c r="L114" s="183">
        <v>44911.18</v>
      </c>
      <c r="M114" s="183">
        <v>45210.73</v>
      </c>
      <c r="N114" s="183"/>
      <c r="O114" s="183">
        <v>43700.65</v>
      </c>
      <c r="P114" s="183">
        <v>43988.68</v>
      </c>
      <c r="Q114" s="183">
        <v>44288.23</v>
      </c>
      <c r="R114" s="472">
        <f t="shared" si="39"/>
        <v>922.5</v>
      </c>
      <c r="S114" s="472">
        <f t="shared" si="40"/>
        <v>922.5</v>
      </c>
      <c r="T114" s="472">
        <f t="shared" si="41"/>
        <v>922.5</v>
      </c>
      <c r="U114" s="54" t="s">
        <v>149</v>
      </c>
      <c r="V114" s="56" t="s">
        <v>87</v>
      </c>
      <c r="W114" s="57" t="s">
        <v>98</v>
      </c>
      <c r="X114" s="57" t="s">
        <v>124</v>
      </c>
      <c r="Y114" s="57" t="s">
        <v>233</v>
      </c>
      <c r="Z114" s="57" t="s">
        <v>90</v>
      </c>
      <c r="AA114" s="12" t="b">
        <f t="shared" si="42"/>
        <v>1</v>
      </c>
      <c r="AB114" s="12" t="b">
        <f t="shared" si="43"/>
        <v>1</v>
      </c>
      <c r="AC114" s="12" t="b">
        <f t="shared" si="44"/>
        <v>1</v>
      </c>
      <c r="AD114" s="12" t="b">
        <f t="shared" si="45"/>
        <v>1</v>
      </c>
      <c r="AE114" s="12" t="b">
        <f t="shared" si="46"/>
        <v>1</v>
      </c>
      <c r="AF114" s="12" t="b">
        <f t="shared" si="47"/>
        <v>1</v>
      </c>
    </row>
    <row r="115" spans="1:32" s="12" customFormat="1" ht="15.75" customHeight="1">
      <c r="A115" s="285"/>
      <c r="B115" s="54" t="s">
        <v>150</v>
      </c>
      <c r="C115" s="56" t="s">
        <v>87</v>
      </c>
      <c r="D115" s="57" t="s">
        <v>98</v>
      </c>
      <c r="E115" s="57" t="s">
        <v>124</v>
      </c>
      <c r="F115" s="57" t="s">
        <v>234</v>
      </c>
      <c r="G115" s="57" t="s">
        <v>90</v>
      </c>
      <c r="H115" s="183">
        <f t="shared" si="57"/>
        <v>44623.15</v>
      </c>
      <c r="I115" s="183">
        <f t="shared" si="57"/>
        <v>44911.18</v>
      </c>
      <c r="J115" s="183">
        <f t="shared" si="57"/>
        <v>45210.73</v>
      </c>
      <c r="K115" s="183">
        <v>44623.15</v>
      </c>
      <c r="L115" s="183">
        <v>44911.18</v>
      </c>
      <c r="M115" s="183">
        <v>45210.73</v>
      </c>
      <c r="N115" s="183"/>
      <c r="O115" s="183">
        <v>43700.65</v>
      </c>
      <c r="P115" s="183">
        <v>43988.68</v>
      </c>
      <c r="Q115" s="183">
        <v>44288.23</v>
      </c>
      <c r="R115" s="472">
        <f t="shared" si="39"/>
        <v>922.5</v>
      </c>
      <c r="S115" s="472">
        <f t="shared" si="40"/>
        <v>922.5</v>
      </c>
      <c r="T115" s="472">
        <f t="shared" si="41"/>
        <v>922.5</v>
      </c>
      <c r="U115" s="54" t="s">
        <v>150</v>
      </c>
      <c r="V115" s="56" t="s">
        <v>87</v>
      </c>
      <c r="W115" s="57" t="s">
        <v>98</v>
      </c>
      <c r="X115" s="57" t="s">
        <v>124</v>
      </c>
      <c r="Y115" s="57" t="s">
        <v>234</v>
      </c>
      <c r="Z115" s="57" t="s">
        <v>90</v>
      </c>
      <c r="AA115" s="12" t="b">
        <f t="shared" si="42"/>
        <v>1</v>
      </c>
      <c r="AB115" s="12" t="b">
        <f t="shared" si="43"/>
        <v>1</v>
      </c>
      <c r="AC115" s="12" t="b">
        <f t="shared" si="44"/>
        <v>1</v>
      </c>
      <c r="AD115" s="12" t="b">
        <f t="shared" si="45"/>
        <v>1</v>
      </c>
      <c r="AE115" s="12" t="b">
        <f t="shared" si="46"/>
        <v>1</v>
      </c>
      <c r="AF115" s="12" t="b">
        <f t="shared" si="47"/>
        <v>1</v>
      </c>
    </row>
    <row r="116" spans="1:32" s="12" customFormat="1" ht="15.75" customHeight="1">
      <c r="A116" s="285"/>
      <c r="B116" s="182" t="s">
        <v>254</v>
      </c>
      <c r="C116" s="36" t="s">
        <v>87</v>
      </c>
      <c r="D116" s="37" t="s">
        <v>98</v>
      </c>
      <c r="E116" s="37" t="s">
        <v>124</v>
      </c>
      <c r="F116" s="37" t="s">
        <v>266</v>
      </c>
      <c r="G116" s="37" t="s">
        <v>90</v>
      </c>
      <c r="H116" s="183">
        <f>H117+H118+H119</f>
        <v>44623.15</v>
      </c>
      <c r="I116" s="183">
        <f>I117+I118+I119</f>
        <v>44911.18</v>
      </c>
      <c r="J116" s="183">
        <f>J117+J118+J119</f>
        <v>45210.73</v>
      </c>
      <c r="K116" s="183">
        <v>44623.15</v>
      </c>
      <c r="L116" s="183">
        <v>44911.18</v>
      </c>
      <c r="M116" s="183">
        <v>45210.73</v>
      </c>
      <c r="N116" s="183"/>
      <c r="O116" s="183">
        <v>43700.65</v>
      </c>
      <c r="P116" s="183">
        <v>43988.68</v>
      </c>
      <c r="Q116" s="183">
        <v>44288.23</v>
      </c>
      <c r="R116" s="472">
        <f t="shared" si="39"/>
        <v>922.5</v>
      </c>
      <c r="S116" s="472">
        <f t="shared" si="40"/>
        <v>922.5</v>
      </c>
      <c r="T116" s="472">
        <f t="shared" si="41"/>
        <v>922.5</v>
      </c>
      <c r="U116" s="182" t="s">
        <v>254</v>
      </c>
      <c r="V116" s="36" t="s">
        <v>87</v>
      </c>
      <c r="W116" s="37" t="s">
        <v>98</v>
      </c>
      <c r="X116" s="37" t="s">
        <v>124</v>
      </c>
      <c r="Y116" s="37" t="s">
        <v>266</v>
      </c>
      <c r="Z116" s="37" t="s">
        <v>90</v>
      </c>
      <c r="AA116" s="12" t="b">
        <f t="shared" si="42"/>
        <v>1</v>
      </c>
      <c r="AB116" s="12" t="b">
        <f t="shared" si="43"/>
        <v>1</v>
      </c>
      <c r="AC116" s="12" t="b">
        <f t="shared" si="44"/>
        <v>1</v>
      </c>
      <c r="AD116" s="12" t="b">
        <f t="shared" si="45"/>
        <v>1</v>
      </c>
      <c r="AE116" s="12" t="b">
        <f t="shared" si="46"/>
        <v>1</v>
      </c>
      <c r="AF116" s="12" t="b">
        <f t="shared" si="47"/>
        <v>1</v>
      </c>
    </row>
    <row r="117" spans="1:32" s="12" customFormat="1" ht="15.75" customHeight="1">
      <c r="A117" s="285"/>
      <c r="B117" s="65" t="s">
        <v>143</v>
      </c>
      <c r="C117" s="56" t="s">
        <v>87</v>
      </c>
      <c r="D117" s="57" t="s">
        <v>98</v>
      </c>
      <c r="E117" s="57" t="s">
        <v>124</v>
      </c>
      <c r="F117" s="57" t="s">
        <v>266</v>
      </c>
      <c r="G117" s="57" t="s">
        <v>157</v>
      </c>
      <c r="H117" s="58">
        <f>20844.89+922.5</f>
        <v>21767.39</v>
      </c>
      <c r="I117" s="58">
        <f t="shared" ref="I117:J117" si="58">20844.89+922.5</f>
        <v>21767.39</v>
      </c>
      <c r="J117" s="58">
        <f t="shared" si="58"/>
        <v>21767.39</v>
      </c>
      <c r="K117" s="58">
        <v>21767.39</v>
      </c>
      <c r="L117" s="58">
        <v>21767.39</v>
      </c>
      <c r="M117" s="58">
        <v>21767.39</v>
      </c>
      <c r="N117" s="58"/>
      <c r="O117" s="58">
        <v>20844.89</v>
      </c>
      <c r="P117" s="58">
        <v>20844.89</v>
      </c>
      <c r="Q117" s="58">
        <v>20844.89</v>
      </c>
      <c r="R117" s="472">
        <f t="shared" si="39"/>
        <v>922.5</v>
      </c>
      <c r="S117" s="472">
        <f t="shared" si="40"/>
        <v>922.5</v>
      </c>
      <c r="T117" s="472">
        <f t="shared" si="41"/>
        <v>922.5</v>
      </c>
      <c r="U117" s="65" t="s">
        <v>143</v>
      </c>
      <c r="V117" s="56" t="s">
        <v>87</v>
      </c>
      <c r="W117" s="57" t="s">
        <v>98</v>
      </c>
      <c r="X117" s="57" t="s">
        <v>124</v>
      </c>
      <c r="Y117" s="57" t="s">
        <v>266</v>
      </c>
      <c r="Z117" s="57" t="s">
        <v>157</v>
      </c>
      <c r="AA117" s="12" t="b">
        <f t="shared" si="42"/>
        <v>1</v>
      </c>
      <c r="AB117" s="12" t="b">
        <f t="shared" si="43"/>
        <v>1</v>
      </c>
      <c r="AC117" s="12" t="b">
        <f t="shared" si="44"/>
        <v>1</v>
      </c>
      <c r="AD117" s="12" t="b">
        <f t="shared" si="45"/>
        <v>1</v>
      </c>
      <c r="AE117" s="12" t="b">
        <f t="shared" si="46"/>
        <v>1</v>
      </c>
      <c r="AF117" s="12" t="b">
        <f t="shared" si="47"/>
        <v>1</v>
      </c>
    </row>
    <row r="118" spans="1:32" s="12" customFormat="1" ht="15.75" customHeight="1">
      <c r="A118" s="285"/>
      <c r="B118" s="182" t="s">
        <v>145</v>
      </c>
      <c r="C118" s="36" t="s">
        <v>87</v>
      </c>
      <c r="D118" s="37" t="s">
        <v>98</v>
      </c>
      <c r="E118" s="37" t="s">
        <v>124</v>
      </c>
      <c r="F118" s="37" t="s">
        <v>266</v>
      </c>
      <c r="G118" s="37" t="s">
        <v>153</v>
      </c>
      <c r="H118" s="183">
        <v>22689.41</v>
      </c>
      <c r="I118" s="183">
        <v>22977.439999999999</v>
      </c>
      <c r="J118" s="183">
        <v>23276.99</v>
      </c>
      <c r="K118" s="183">
        <v>22689.41</v>
      </c>
      <c r="L118" s="183">
        <v>22977.439999999999</v>
      </c>
      <c r="M118" s="183">
        <v>23276.99</v>
      </c>
      <c r="N118" s="183"/>
      <c r="O118" s="183">
        <v>22689.41</v>
      </c>
      <c r="P118" s="183">
        <v>22977.439999999999</v>
      </c>
      <c r="Q118" s="183">
        <v>23276.99</v>
      </c>
      <c r="R118" s="472">
        <f t="shared" si="39"/>
        <v>0</v>
      </c>
      <c r="S118" s="472">
        <f t="shared" si="40"/>
        <v>0</v>
      </c>
      <c r="T118" s="472">
        <f t="shared" si="41"/>
        <v>0</v>
      </c>
      <c r="U118" s="182" t="s">
        <v>145</v>
      </c>
      <c r="V118" s="36" t="s">
        <v>87</v>
      </c>
      <c r="W118" s="37" t="s">
        <v>98</v>
      </c>
      <c r="X118" s="37" t="s">
        <v>124</v>
      </c>
      <c r="Y118" s="37" t="s">
        <v>266</v>
      </c>
      <c r="Z118" s="37" t="s">
        <v>153</v>
      </c>
      <c r="AA118" s="12" t="b">
        <f t="shared" si="42"/>
        <v>1</v>
      </c>
      <c r="AB118" s="12" t="b">
        <f t="shared" si="43"/>
        <v>1</v>
      </c>
      <c r="AC118" s="12" t="b">
        <f t="shared" si="44"/>
        <v>1</v>
      </c>
      <c r="AD118" s="12" t="b">
        <f t="shared" si="45"/>
        <v>1</v>
      </c>
      <c r="AE118" s="12" t="b">
        <f t="shared" si="46"/>
        <v>1</v>
      </c>
      <c r="AF118" s="12" t="b">
        <f t="shared" si="47"/>
        <v>1</v>
      </c>
    </row>
    <row r="119" spans="1:32" s="12" customFormat="1" ht="15.75" customHeight="1">
      <c r="A119" s="285"/>
      <c r="B119" s="182" t="s">
        <v>137</v>
      </c>
      <c r="C119" s="36" t="s">
        <v>87</v>
      </c>
      <c r="D119" s="37" t="s">
        <v>98</v>
      </c>
      <c r="E119" s="37" t="s">
        <v>124</v>
      </c>
      <c r="F119" s="37" t="s">
        <v>266</v>
      </c>
      <c r="G119" s="37" t="s">
        <v>155</v>
      </c>
      <c r="H119" s="183">
        <v>166.35</v>
      </c>
      <c r="I119" s="183">
        <v>166.35</v>
      </c>
      <c r="J119" s="183">
        <v>166.35</v>
      </c>
      <c r="K119" s="183">
        <v>166.35</v>
      </c>
      <c r="L119" s="183">
        <v>166.35</v>
      </c>
      <c r="M119" s="183">
        <v>166.35</v>
      </c>
      <c r="N119" s="183"/>
      <c r="O119" s="183">
        <v>166.35</v>
      </c>
      <c r="P119" s="183">
        <v>166.35</v>
      </c>
      <c r="Q119" s="183">
        <v>166.35</v>
      </c>
      <c r="R119" s="472">
        <f t="shared" si="39"/>
        <v>0</v>
      </c>
      <c r="S119" s="472">
        <f t="shared" si="40"/>
        <v>0</v>
      </c>
      <c r="T119" s="472">
        <f t="shared" si="41"/>
        <v>0</v>
      </c>
      <c r="U119" s="182" t="s">
        <v>137</v>
      </c>
      <c r="V119" s="36" t="s">
        <v>87</v>
      </c>
      <c r="W119" s="37" t="s">
        <v>98</v>
      </c>
      <c r="X119" s="37" t="s">
        <v>124</v>
      </c>
      <c r="Y119" s="37" t="s">
        <v>266</v>
      </c>
      <c r="Z119" s="37" t="s">
        <v>155</v>
      </c>
      <c r="AA119" s="12" t="b">
        <f t="shared" si="42"/>
        <v>1</v>
      </c>
      <c r="AB119" s="12" t="b">
        <f t="shared" si="43"/>
        <v>1</v>
      </c>
      <c r="AC119" s="12" t="b">
        <f t="shared" si="44"/>
        <v>1</v>
      </c>
      <c r="AD119" s="12" t="b">
        <f t="shared" si="45"/>
        <v>1</v>
      </c>
      <c r="AE119" s="12" t="b">
        <f t="shared" si="46"/>
        <v>1</v>
      </c>
      <c r="AF119" s="12" t="b">
        <f t="shared" si="47"/>
        <v>1</v>
      </c>
    </row>
    <row r="120" spans="1:32" s="12" customFormat="1" ht="15.75" customHeight="1">
      <c r="A120" s="285"/>
      <c r="B120" s="182" t="s">
        <v>607</v>
      </c>
      <c r="C120" s="56" t="s">
        <v>87</v>
      </c>
      <c r="D120" s="57" t="s">
        <v>98</v>
      </c>
      <c r="E120" s="57" t="s">
        <v>124</v>
      </c>
      <c r="F120" s="57" t="s">
        <v>604</v>
      </c>
      <c r="G120" s="57" t="s">
        <v>90</v>
      </c>
      <c r="H120" s="183">
        <f t="shared" ref="H120:J120" si="59">H121</f>
        <v>11866.42</v>
      </c>
      <c r="I120" s="183">
        <f t="shared" si="59"/>
        <v>11866.42</v>
      </c>
      <c r="J120" s="183">
        <f t="shared" si="59"/>
        <v>11866.42</v>
      </c>
      <c r="K120" s="183">
        <v>11866.42</v>
      </c>
      <c r="L120" s="183">
        <v>11866.42</v>
      </c>
      <c r="M120" s="183">
        <v>11866.42</v>
      </c>
      <c r="N120" s="183"/>
      <c r="O120" s="183">
        <v>11866.42</v>
      </c>
      <c r="P120" s="183">
        <v>11866.42</v>
      </c>
      <c r="Q120" s="183">
        <v>11866.42</v>
      </c>
      <c r="R120" s="472">
        <f t="shared" si="39"/>
        <v>0</v>
      </c>
      <c r="S120" s="472">
        <f t="shared" si="40"/>
        <v>0</v>
      </c>
      <c r="T120" s="472">
        <f t="shared" si="41"/>
        <v>0</v>
      </c>
      <c r="U120" s="182" t="s">
        <v>607</v>
      </c>
      <c r="V120" s="56" t="s">
        <v>87</v>
      </c>
      <c r="W120" s="57" t="s">
        <v>98</v>
      </c>
      <c r="X120" s="57" t="s">
        <v>124</v>
      </c>
      <c r="Y120" s="57" t="s">
        <v>604</v>
      </c>
      <c r="Z120" s="57" t="s">
        <v>90</v>
      </c>
      <c r="AA120" s="12" t="b">
        <f t="shared" si="42"/>
        <v>1</v>
      </c>
      <c r="AB120" s="12" t="b">
        <f t="shared" si="43"/>
        <v>1</v>
      </c>
      <c r="AC120" s="12" t="b">
        <f t="shared" si="44"/>
        <v>1</v>
      </c>
      <c r="AD120" s="12" t="b">
        <f t="shared" si="45"/>
        <v>1</v>
      </c>
      <c r="AE120" s="12" t="b">
        <f t="shared" si="46"/>
        <v>1</v>
      </c>
      <c r="AF120" s="12" t="b">
        <f t="shared" si="47"/>
        <v>1</v>
      </c>
    </row>
    <row r="121" spans="1:32" s="12" customFormat="1" ht="15.75" customHeight="1">
      <c r="A121" s="285"/>
      <c r="B121" s="182" t="s">
        <v>608</v>
      </c>
      <c r="C121" s="56" t="s">
        <v>87</v>
      </c>
      <c r="D121" s="57" t="s">
        <v>98</v>
      </c>
      <c r="E121" s="57" t="s">
        <v>124</v>
      </c>
      <c r="F121" s="57" t="s">
        <v>605</v>
      </c>
      <c r="G121" s="57" t="s">
        <v>90</v>
      </c>
      <c r="H121" s="183">
        <f>H122</f>
        <v>11866.42</v>
      </c>
      <c r="I121" s="183">
        <f>I122</f>
        <v>11866.42</v>
      </c>
      <c r="J121" s="183">
        <f>J122</f>
        <v>11866.42</v>
      </c>
      <c r="K121" s="183">
        <v>11866.42</v>
      </c>
      <c r="L121" s="183">
        <v>11866.42</v>
      </c>
      <c r="M121" s="183">
        <v>11866.42</v>
      </c>
      <c r="N121" s="183"/>
      <c r="O121" s="183">
        <v>11866.42</v>
      </c>
      <c r="P121" s="183">
        <v>11866.42</v>
      </c>
      <c r="Q121" s="183">
        <v>11866.42</v>
      </c>
      <c r="R121" s="472">
        <f t="shared" si="39"/>
        <v>0</v>
      </c>
      <c r="S121" s="472">
        <f t="shared" si="40"/>
        <v>0</v>
      </c>
      <c r="T121" s="472">
        <f t="shared" si="41"/>
        <v>0</v>
      </c>
      <c r="U121" s="182" t="s">
        <v>608</v>
      </c>
      <c r="V121" s="56" t="s">
        <v>87</v>
      </c>
      <c r="W121" s="57" t="s">
        <v>98</v>
      </c>
      <c r="X121" s="57" t="s">
        <v>124</v>
      </c>
      <c r="Y121" s="57" t="s">
        <v>605</v>
      </c>
      <c r="Z121" s="57" t="s">
        <v>90</v>
      </c>
      <c r="AA121" s="12" t="b">
        <f t="shared" si="42"/>
        <v>1</v>
      </c>
      <c r="AB121" s="12" t="b">
        <f t="shared" si="43"/>
        <v>1</v>
      </c>
      <c r="AC121" s="12" t="b">
        <f t="shared" si="44"/>
        <v>1</v>
      </c>
      <c r="AD121" s="12" t="b">
        <f t="shared" si="45"/>
        <v>1</v>
      </c>
      <c r="AE121" s="12" t="b">
        <f t="shared" si="46"/>
        <v>1</v>
      </c>
      <c r="AF121" s="12" t="b">
        <f t="shared" si="47"/>
        <v>1</v>
      </c>
    </row>
    <row r="122" spans="1:32" s="12" customFormat="1" ht="15.75" customHeight="1">
      <c r="A122" s="285" t="s">
        <v>799</v>
      </c>
      <c r="B122" s="54" t="s">
        <v>267</v>
      </c>
      <c r="C122" s="56" t="s">
        <v>87</v>
      </c>
      <c r="D122" s="57" t="s">
        <v>98</v>
      </c>
      <c r="E122" s="57" t="s">
        <v>124</v>
      </c>
      <c r="F122" s="57" t="s">
        <v>677</v>
      </c>
      <c r="G122" s="57" t="s">
        <v>90</v>
      </c>
      <c r="H122" s="183">
        <f>SUM(H123:H124)</f>
        <v>11866.42</v>
      </c>
      <c r="I122" s="183">
        <f>SUM(I123:I124)</f>
        <v>11866.42</v>
      </c>
      <c r="J122" s="183">
        <f>SUM(J123:J124)</f>
        <v>11866.42</v>
      </c>
      <c r="K122" s="183">
        <v>11866.42</v>
      </c>
      <c r="L122" s="183">
        <v>11866.42</v>
      </c>
      <c r="M122" s="183">
        <v>11866.42</v>
      </c>
      <c r="N122" s="183"/>
      <c r="O122" s="183">
        <v>11866.42</v>
      </c>
      <c r="P122" s="183">
        <v>11866.42</v>
      </c>
      <c r="Q122" s="183">
        <v>11866.42</v>
      </c>
      <c r="R122" s="472">
        <f t="shared" si="39"/>
        <v>0</v>
      </c>
      <c r="S122" s="472">
        <f t="shared" si="40"/>
        <v>0</v>
      </c>
      <c r="T122" s="472">
        <f t="shared" si="41"/>
        <v>0</v>
      </c>
      <c r="U122" s="54" t="s">
        <v>267</v>
      </c>
      <c r="V122" s="56" t="s">
        <v>87</v>
      </c>
      <c r="W122" s="57" t="s">
        <v>98</v>
      </c>
      <c r="X122" s="57" t="s">
        <v>124</v>
      </c>
      <c r="Y122" s="57" t="s">
        <v>677</v>
      </c>
      <c r="Z122" s="57" t="s">
        <v>90</v>
      </c>
      <c r="AA122" s="12" t="b">
        <f t="shared" si="42"/>
        <v>1</v>
      </c>
      <c r="AB122" s="12" t="b">
        <f t="shared" si="43"/>
        <v>1</v>
      </c>
      <c r="AC122" s="12" t="b">
        <f t="shared" si="44"/>
        <v>1</v>
      </c>
      <c r="AD122" s="12" t="b">
        <f t="shared" si="45"/>
        <v>1</v>
      </c>
      <c r="AE122" s="12" t="b">
        <f t="shared" si="46"/>
        <v>1</v>
      </c>
      <c r="AF122" s="12" t="b">
        <f t="shared" si="47"/>
        <v>1</v>
      </c>
    </row>
    <row r="123" spans="1:32" s="12" customFormat="1" ht="15.75" customHeight="1">
      <c r="A123" s="285" t="s">
        <v>964</v>
      </c>
      <c r="B123" s="182" t="s">
        <v>144</v>
      </c>
      <c r="C123" s="36" t="s">
        <v>87</v>
      </c>
      <c r="D123" s="37" t="s">
        <v>98</v>
      </c>
      <c r="E123" s="37" t="s">
        <v>124</v>
      </c>
      <c r="F123" s="37" t="s">
        <v>677</v>
      </c>
      <c r="G123" s="37" t="s">
        <v>152</v>
      </c>
      <c r="H123" s="183">
        <f>I122-H124</f>
        <v>11566.42</v>
      </c>
      <c r="I123" s="183">
        <v>11566.42</v>
      </c>
      <c r="J123" s="183">
        <v>11566.42</v>
      </c>
      <c r="K123" s="183">
        <v>11566.42</v>
      </c>
      <c r="L123" s="183">
        <v>11566.42</v>
      </c>
      <c r="M123" s="183">
        <v>11566.42</v>
      </c>
      <c r="N123" s="183"/>
      <c r="O123" s="183">
        <v>11566.42</v>
      </c>
      <c r="P123" s="183">
        <v>11566.42</v>
      </c>
      <c r="Q123" s="183">
        <v>11566.42</v>
      </c>
      <c r="R123" s="472">
        <f t="shared" si="39"/>
        <v>0</v>
      </c>
      <c r="S123" s="472">
        <f t="shared" si="40"/>
        <v>0</v>
      </c>
      <c r="T123" s="472">
        <f t="shared" si="41"/>
        <v>0</v>
      </c>
      <c r="U123" s="182" t="s">
        <v>144</v>
      </c>
      <c r="V123" s="36" t="s">
        <v>87</v>
      </c>
      <c r="W123" s="37" t="s">
        <v>98</v>
      </c>
      <c r="X123" s="37" t="s">
        <v>124</v>
      </c>
      <c r="Y123" s="37" t="s">
        <v>677</v>
      </c>
      <c r="Z123" s="37" t="s">
        <v>152</v>
      </c>
      <c r="AA123" s="12" t="b">
        <f t="shared" si="42"/>
        <v>1</v>
      </c>
      <c r="AB123" s="12" t="b">
        <f t="shared" si="43"/>
        <v>1</v>
      </c>
      <c r="AC123" s="12" t="b">
        <f t="shared" si="44"/>
        <v>1</v>
      </c>
      <c r="AD123" s="12" t="b">
        <f t="shared" si="45"/>
        <v>1</v>
      </c>
      <c r="AE123" s="12" t="b">
        <f t="shared" si="46"/>
        <v>1</v>
      </c>
      <c r="AF123" s="12" t="b">
        <f t="shared" si="47"/>
        <v>1</v>
      </c>
    </row>
    <row r="124" spans="1:32" s="12" customFormat="1" ht="15.75" customHeight="1">
      <c r="A124" s="285" t="s">
        <v>964</v>
      </c>
      <c r="B124" s="182" t="s">
        <v>145</v>
      </c>
      <c r="C124" s="36" t="s">
        <v>87</v>
      </c>
      <c r="D124" s="37" t="s">
        <v>98</v>
      </c>
      <c r="E124" s="37" t="s">
        <v>124</v>
      </c>
      <c r="F124" s="37" t="s">
        <v>677</v>
      </c>
      <c r="G124" s="37" t="s">
        <v>153</v>
      </c>
      <c r="H124" s="183">
        <v>300</v>
      </c>
      <c r="I124" s="183">
        <v>300</v>
      </c>
      <c r="J124" s="183">
        <v>300</v>
      </c>
      <c r="K124" s="183">
        <v>300</v>
      </c>
      <c r="L124" s="183">
        <v>300</v>
      </c>
      <c r="M124" s="183">
        <v>300</v>
      </c>
      <c r="N124" s="183"/>
      <c r="O124" s="183">
        <v>300</v>
      </c>
      <c r="P124" s="183">
        <v>300</v>
      </c>
      <c r="Q124" s="183">
        <v>300</v>
      </c>
      <c r="R124" s="472">
        <f t="shared" si="39"/>
        <v>0</v>
      </c>
      <c r="S124" s="472">
        <f t="shared" si="40"/>
        <v>0</v>
      </c>
      <c r="T124" s="472">
        <f t="shared" si="41"/>
        <v>0</v>
      </c>
      <c r="U124" s="182" t="s">
        <v>145</v>
      </c>
      <c r="V124" s="36" t="s">
        <v>87</v>
      </c>
      <c r="W124" s="37" t="s">
        <v>98</v>
      </c>
      <c r="X124" s="37" t="s">
        <v>124</v>
      </c>
      <c r="Y124" s="37" t="s">
        <v>677</v>
      </c>
      <c r="Z124" s="37" t="s">
        <v>153</v>
      </c>
      <c r="AA124" s="12" t="b">
        <f t="shared" si="42"/>
        <v>1</v>
      </c>
      <c r="AB124" s="12" t="b">
        <f t="shared" si="43"/>
        <v>1</v>
      </c>
      <c r="AC124" s="12" t="b">
        <f t="shared" si="44"/>
        <v>1</v>
      </c>
      <c r="AD124" s="12" t="b">
        <f t="shared" si="45"/>
        <v>1</v>
      </c>
      <c r="AE124" s="12" t="b">
        <f t="shared" si="46"/>
        <v>1</v>
      </c>
      <c r="AF124" s="12" t="b">
        <f t="shared" si="47"/>
        <v>1</v>
      </c>
    </row>
    <row r="125" spans="1:32" s="12" customFormat="1" ht="15.75" customHeight="1">
      <c r="A125" s="285"/>
      <c r="B125" s="28" t="s">
        <v>12</v>
      </c>
      <c r="C125" s="29" t="s">
        <v>87</v>
      </c>
      <c r="D125" s="30" t="s">
        <v>85</v>
      </c>
      <c r="E125" s="30" t="s">
        <v>83</v>
      </c>
      <c r="F125" s="30" t="s">
        <v>223</v>
      </c>
      <c r="G125" s="30" t="s">
        <v>90</v>
      </c>
      <c r="H125" s="31">
        <f t="shared" ref="H125:J127" si="60">H126</f>
        <v>500</v>
      </c>
      <c r="I125" s="31">
        <f t="shared" si="60"/>
        <v>500</v>
      </c>
      <c r="J125" s="31">
        <f t="shared" si="60"/>
        <v>500</v>
      </c>
      <c r="K125" s="31">
        <v>500</v>
      </c>
      <c r="L125" s="31">
        <v>500</v>
      </c>
      <c r="M125" s="31">
        <v>500</v>
      </c>
      <c r="N125" s="31"/>
      <c r="O125" s="31">
        <v>500</v>
      </c>
      <c r="P125" s="31">
        <v>500</v>
      </c>
      <c r="Q125" s="31">
        <v>500</v>
      </c>
      <c r="R125" s="472">
        <f t="shared" si="39"/>
        <v>0</v>
      </c>
      <c r="S125" s="472">
        <f t="shared" si="40"/>
        <v>0</v>
      </c>
      <c r="T125" s="472">
        <f t="shared" si="41"/>
        <v>0</v>
      </c>
      <c r="U125" s="28" t="s">
        <v>12</v>
      </c>
      <c r="V125" s="29" t="s">
        <v>87</v>
      </c>
      <c r="W125" s="30" t="s">
        <v>85</v>
      </c>
      <c r="X125" s="30" t="s">
        <v>83</v>
      </c>
      <c r="Y125" s="30" t="s">
        <v>223</v>
      </c>
      <c r="Z125" s="30" t="s">
        <v>90</v>
      </c>
      <c r="AA125" s="12" t="b">
        <f t="shared" si="42"/>
        <v>1</v>
      </c>
      <c r="AB125" s="12" t="b">
        <f t="shared" si="43"/>
        <v>1</v>
      </c>
      <c r="AC125" s="12" t="b">
        <f t="shared" si="44"/>
        <v>1</v>
      </c>
      <c r="AD125" s="12" t="b">
        <f t="shared" si="45"/>
        <v>1</v>
      </c>
      <c r="AE125" s="12" t="b">
        <f t="shared" si="46"/>
        <v>1</v>
      </c>
      <c r="AF125" s="12" t="b">
        <f t="shared" si="47"/>
        <v>1</v>
      </c>
    </row>
    <row r="126" spans="1:32" s="12" customFormat="1" ht="15.75" customHeight="1">
      <c r="A126" s="285"/>
      <c r="B126" s="32" t="s">
        <v>1025</v>
      </c>
      <c r="C126" s="33" t="s">
        <v>87</v>
      </c>
      <c r="D126" s="34" t="s">
        <v>85</v>
      </c>
      <c r="E126" s="34" t="s">
        <v>618</v>
      </c>
      <c r="F126" s="34" t="s">
        <v>223</v>
      </c>
      <c r="G126" s="34" t="s">
        <v>90</v>
      </c>
      <c r="H126" s="35">
        <f t="shared" si="60"/>
        <v>500</v>
      </c>
      <c r="I126" s="35">
        <f t="shared" si="60"/>
        <v>500</v>
      </c>
      <c r="J126" s="35">
        <f t="shared" si="60"/>
        <v>500</v>
      </c>
      <c r="K126" s="35">
        <v>500</v>
      </c>
      <c r="L126" s="35">
        <v>500</v>
      </c>
      <c r="M126" s="35">
        <v>500</v>
      </c>
      <c r="N126" s="35"/>
      <c r="O126" s="35">
        <v>500</v>
      </c>
      <c r="P126" s="35">
        <v>500</v>
      </c>
      <c r="Q126" s="35">
        <v>500</v>
      </c>
      <c r="R126" s="472">
        <f t="shared" si="39"/>
        <v>0</v>
      </c>
      <c r="S126" s="472">
        <f t="shared" si="40"/>
        <v>0</v>
      </c>
      <c r="T126" s="472">
        <f t="shared" si="41"/>
        <v>0</v>
      </c>
      <c r="U126" s="32" t="s">
        <v>1025</v>
      </c>
      <c r="V126" s="33" t="s">
        <v>87</v>
      </c>
      <c r="W126" s="34" t="s">
        <v>85</v>
      </c>
      <c r="X126" s="34" t="s">
        <v>618</v>
      </c>
      <c r="Y126" s="34" t="s">
        <v>223</v>
      </c>
      <c r="Z126" s="34" t="s">
        <v>90</v>
      </c>
      <c r="AA126" s="12" t="b">
        <f t="shared" si="42"/>
        <v>1</v>
      </c>
      <c r="AB126" s="12" t="b">
        <f t="shared" si="43"/>
        <v>1</v>
      </c>
      <c r="AC126" s="12" t="b">
        <f t="shared" si="44"/>
        <v>1</v>
      </c>
      <c r="AD126" s="12" t="b">
        <f t="shared" si="45"/>
        <v>1</v>
      </c>
      <c r="AE126" s="12" t="b">
        <f t="shared" si="46"/>
        <v>1</v>
      </c>
      <c r="AF126" s="12" t="b">
        <f t="shared" si="47"/>
        <v>1</v>
      </c>
    </row>
    <row r="127" spans="1:32" s="12" customFormat="1" ht="15.75" customHeight="1">
      <c r="A127" s="285"/>
      <c r="B127" s="22" t="s">
        <v>667</v>
      </c>
      <c r="C127" s="56">
        <v>601</v>
      </c>
      <c r="D127" s="56" t="s">
        <v>85</v>
      </c>
      <c r="E127" s="56" t="s">
        <v>618</v>
      </c>
      <c r="F127" s="56" t="s">
        <v>255</v>
      </c>
      <c r="G127" s="56" t="s">
        <v>90</v>
      </c>
      <c r="H127" s="60">
        <f t="shared" si="60"/>
        <v>500</v>
      </c>
      <c r="I127" s="60">
        <f t="shared" si="60"/>
        <v>500</v>
      </c>
      <c r="J127" s="60">
        <f t="shared" si="60"/>
        <v>500</v>
      </c>
      <c r="K127" s="60">
        <v>500</v>
      </c>
      <c r="L127" s="60">
        <v>500</v>
      </c>
      <c r="M127" s="60">
        <v>500</v>
      </c>
      <c r="N127" s="60"/>
      <c r="O127" s="60">
        <v>500</v>
      </c>
      <c r="P127" s="60">
        <v>500</v>
      </c>
      <c r="Q127" s="60">
        <v>500</v>
      </c>
      <c r="R127" s="472">
        <f t="shared" si="39"/>
        <v>0</v>
      </c>
      <c r="S127" s="472">
        <f t="shared" si="40"/>
        <v>0</v>
      </c>
      <c r="T127" s="472">
        <f t="shared" si="41"/>
        <v>0</v>
      </c>
      <c r="U127" s="22" t="s">
        <v>667</v>
      </c>
      <c r="V127" s="56">
        <v>601</v>
      </c>
      <c r="W127" s="56" t="s">
        <v>85</v>
      </c>
      <c r="X127" s="56" t="s">
        <v>618</v>
      </c>
      <c r="Y127" s="56" t="s">
        <v>255</v>
      </c>
      <c r="Z127" s="56" t="s">
        <v>90</v>
      </c>
      <c r="AA127" s="12" t="b">
        <f t="shared" si="42"/>
        <v>1</v>
      </c>
      <c r="AB127" s="12" t="b">
        <f t="shared" si="43"/>
        <v>1</v>
      </c>
      <c r="AC127" s="12" t="b">
        <f t="shared" si="44"/>
        <v>1</v>
      </c>
      <c r="AD127" s="12" t="b">
        <f t="shared" si="45"/>
        <v>1</v>
      </c>
      <c r="AE127" s="12" t="b">
        <f t="shared" si="46"/>
        <v>1</v>
      </c>
      <c r="AF127" s="12" t="b">
        <f t="shared" si="47"/>
        <v>1</v>
      </c>
    </row>
    <row r="128" spans="1:32" s="12" customFormat="1" ht="15.75" customHeight="1">
      <c r="A128" s="285"/>
      <c r="B128" s="182" t="s">
        <v>669</v>
      </c>
      <c r="C128" s="59">
        <v>601</v>
      </c>
      <c r="D128" s="56" t="s">
        <v>85</v>
      </c>
      <c r="E128" s="56" t="s">
        <v>618</v>
      </c>
      <c r="F128" s="56" t="s">
        <v>257</v>
      </c>
      <c r="G128" s="37" t="s">
        <v>90</v>
      </c>
      <c r="H128" s="183">
        <f t="shared" ref="H128:J129" si="61">H129</f>
        <v>500</v>
      </c>
      <c r="I128" s="183">
        <f t="shared" si="61"/>
        <v>500</v>
      </c>
      <c r="J128" s="183">
        <f t="shared" si="61"/>
        <v>500</v>
      </c>
      <c r="K128" s="183">
        <v>500</v>
      </c>
      <c r="L128" s="183">
        <v>500</v>
      </c>
      <c r="M128" s="183">
        <v>500</v>
      </c>
      <c r="N128" s="183"/>
      <c r="O128" s="183">
        <v>500</v>
      </c>
      <c r="P128" s="183">
        <v>500</v>
      </c>
      <c r="Q128" s="183">
        <v>500</v>
      </c>
      <c r="R128" s="472">
        <f t="shared" si="39"/>
        <v>0</v>
      </c>
      <c r="S128" s="472">
        <f t="shared" si="40"/>
        <v>0</v>
      </c>
      <c r="T128" s="472">
        <f t="shared" si="41"/>
        <v>0</v>
      </c>
      <c r="U128" s="182" t="s">
        <v>669</v>
      </c>
      <c r="V128" s="59">
        <v>601</v>
      </c>
      <c r="W128" s="56" t="s">
        <v>85</v>
      </c>
      <c r="X128" s="56" t="s">
        <v>618</v>
      </c>
      <c r="Y128" s="56" t="s">
        <v>257</v>
      </c>
      <c r="Z128" s="37" t="s">
        <v>90</v>
      </c>
      <c r="AA128" s="12" t="b">
        <f t="shared" si="42"/>
        <v>1</v>
      </c>
      <c r="AB128" s="12" t="b">
        <f t="shared" si="43"/>
        <v>1</v>
      </c>
      <c r="AC128" s="12" t="b">
        <f t="shared" si="44"/>
        <v>1</v>
      </c>
      <c r="AD128" s="12" t="b">
        <f t="shared" si="45"/>
        <v>1</v>
      </c>
      <c r="AE128" s="12" t="b">
        <f t="shared" si="46"/>
        <v>1</v>
      </c>
      <c r="AF128" s="12" t="b">
        <f t="shared" si="47"/>
        <v>1</v>
      </c>
    </row>
    <row r="129" spans="1:32" s="12" customFormat="1" ht="15.75" customHeight="1">
      <c r="A129" s="285"/>
      <c r="B129" s="182" t="s">
        <v>591</v>
      </c>
      <c r="C129" s="59">
        <v>601</v>
      </c>
      <c r="D129" s="56" t="s">
        <v>85</v>
      </c>
      <c r="E129" s="56" t="s">
        <v>618</v>
      </c>
      <c r="F129" s="56" t="s">
        <v>258</v>
      </c>
      <c r="G129" s="37" t="s">
        <v>90</v>
      </c>
      <c r="H129" s="183">
        <f t="shared" si="61"/>
        <v>500</v>
      </c>
      <c r="I129" s="183">
        <f t="shared" si="61"/>
        <v>500</v>
      </c>
      <c r="J129" s="183">
        <f t="shared" si="61"/>
        <v>500</v>
      </c>
      <c r="K129" s="183">
        <v>500</v>
      </c>
      <c r="L129" s="183">
        <v>500</v>
      </c>
      <c r="M129" s="183">
        <v>500</v>
      </c>
      <c r="N129" s="183"/>
      <c r="O129" s="183">
        <v>500</v>
      </c>
      <c r="P129" s="183">
        <v>500</v>
      </c>
      <c r="Q129" s="183">
        <v>500</v>
      </c>
      <c r="R129" s="472">
        <f t="shared" si="39"/>
        <v>0</v>
      </c>
      <c r="S129" s="472">
        <f t="shared" si="40"/>
        <v>0</v>
      </c>
      <c r="T129" s="472">
        <f t="shared" si="41"/>
        <v>0</v>
      </c>
      <c r="U129" s="182" t="s">
        <v>591</v>
      </c>
      <c r="V129" s="59">
        <v>601</v>
      </c>
      <c r="W129" s="56" t="s">
        <v>85</v>
      </c>
      <c r="X129" s="56" t="s">
        <v>618</v>
      </c>
      <c r="Y129" s="56" t="s">
        <v>258</v>
      </c>
      <c r="Z129" s="37" t="s">
        <v>90</v>
      </c>
      <c r="AA129" s="12" t="b">
        <f t="shared" si="42"/>
        <v>1</v>
      </c>
      <c r="AB129" s="12" t="b">
        <f t="shared" si="43"/>
        <v>1</v>
      </c>
      <c r="AC129" s="12" t="b">
        <f t="shared" si="44"/>
        <v>1</v>
      </c>
      <c r="AD129" s="12" t="b">
        <f t="shared" si="45"/>
        <v>1</v>
      </c>
      <c r="AE129" s="12" t="b">
        <f t="shared" si="46"/>
        <v>1</v>
      </c>
      <c r="AF129" s="12" t="b">
        <f t="shared" si="47"/>
        <v>1</v>
      </c>
    </row>
    <row r="130" spans="1:32" s="12" customFormat="1" ht="15.75" customHeight="1">
      <c r="A130" s="285"/>
      <c r="B130" s="182" t="s">
        <v>590</v>
      </c>
      <c r="C130" s="59">
        <v>601</v>
      </c>
      <c r="D130" s="56" t="s">
        <v>85</v>
      </c>
      <c r="E130" s="56" t="s">
        <v>618</v>
      </c>
      <c r="F130" s="56" t="s">
        <v>894</v>
      </c>
      <c r="G130" s="37" t="s">
        <v>90</v>
      </c>
      <c r="H130" s="183">
        <f t="shared" ref="H130:J130" si="62">H131+H132</f>
        <v>500</v>
      </c>
      <c r="I130" s="183">
        <f t="shared" si="62"/>
        <v>500</v>
      </c>
      <c r="J130" s="183">
        <f t="shared" si="62"/>
        <v>500</v>
      </c>
      <c r="K130" s="183">
        <v>500</v>
      </c>
      <c r="L130" s="183">
        <v>500</v>
      </c>
      <c r="M130" s="183">
        <v>500</v>
      </c>
      <c r="N130" s="183"/>
      <c r="O130" s="183">
        <v>500</v>
      </c>
      <c r="P130" s="183">
        <v>500</v>
      </c>
      <c r="Q130" s="183">
        <v>500</v>
      </c>
      <c r="R130" s="472">
        <f t="shared" ref="R130:R197" si="63">H130-O130</f>
        <v>0</v>
      </c>
      <c r="S130" s="472">
        <f t="shared" ref="S130:S197" si="64">I130-P130</f>
        <v>0</v>
      </c>
      <c r="T130" s="472">
        <f t="shared" ref="T130:T197" si="65">J130-Q130</f>
        <v>0</v>
      </c>
      <c r="U130" s="182" t="s">
        <v>590</v>
      </c>
      <c r="V130" s="59">
        <v>601</v>
      </c>
      <c r="W130" s="56" t="s">
        <v>85</v>
      </c>
      <c r="X130" s="56" t="s">
        <v>618</v>
      </c>
      <c r="Y130" s="56" t="s">
        <v>894</v>
      </c>
      <c r="Z130" s="37" t="s">
        <v>90</v>
      </c>
      <c r="AA130" s="12" t="b">
        <f t="shared" si="42"/>
        <v>1</v>
      </c>
      <c r="AB130" s="12" t="b">
        <f t="shared" si="43"/>
        <v>1</v>
      </c>
      <c r="AC130" s="12" t="b">
        <f t="shared" si="44"/>
        <v>1</v>
      </c>
      <c r="AD130" s="12" t="b">
        <f t="shared" si="45"/>
        <v>1</v>
      </c>
      <c r="AE130" s="12" t="b">
        <f t="shared" si="46"/>
        <v>1</v>
      </c>
      <c r="AF130" s="12" t="b">
        <f t="shared" si="47"/>
        <v>1</v>
      </c>
    </row>
    <row r="131" spans="1:32" s="12" customFormat="1" ht="15.75" customHeight="1">
      <c r="A131" s="285"/>
      <c r="B131" s="182" t="s">
        <v>144</v>
      </c>
      <c r="C131" s="89">
        <v>601</v>
      </c>
      <c r="D131" s="36" t="s">
        <v>85</v>
      </c>
      <c r="E131" s="36" t="s">
        <v>618</v>
      </c>
      <c r="F131" s="36" t="s">
        <v>894</v>
      </c>
      <c r="G131" s="37" t="s">
        <v>152</v>
      </c>
      <c r="H131" s="183">
        <f t="shared" ref="H131:J131" si="66">500-30</f>
        <v>470</v>
      </c>
      <c r="I131" s="183">
        <f t="shared" si="66"/>
        <v>470</v>
      </c>
      <c r="J131" s="183">
        <f t="shared" si="66"/>
        <v>470</v>
      </c>
      <c r="K131" s="183">
        <v>470</v>
      </c>
      <c r="L131" s="183">
        <v>470</v>
      </c>
      <c r="M131" s="183">
        <v>470</v>
      </c>
      <c r="N131" s="183"/>
      <c r="O131" s="183">
        <v>470</v>
      </c>
      <c r="P131" s="183">
        <v>470</v>
      </c>
      <c r="Q131" s="183">
        <v>470</v>
      </c>
      <c r="R131" s="472">
        <f t="shared" si="63"/>
        <v>0</v>
      </c>
      <c r="S131" s="472">
        <f t="shared" si="64"/>
        <v>0</v>
      </c>
      <c r="T131" s="472">
        <f t="shared" si="65"/>
        <v>0</v>
      </c>
      <c r="U131" s="182" t="s">
        <v>144</v>
      </c>
      <c r="V131" s="89">
        <v>601</v>
      </c>
      <c r="W131" s="36" t="s">
        <v>85</v>
      </c>
      <c r="X131" s="36" t="s">
        <v>618</v>
      </c>
      <c r="Y131" s="36" t="s">
        <v>894</v>
      </c>
      <c r="Z131" s="37" t="s">
        <v>152</v>
      </c>
      <c r="AA131" s="12" t="b">
        <f t="shared" ref="AA131:AA198" si="67">B131=U131</f>
        <v>1</v>
      </c>
      <c r="AB131" s="12" t="b">
        <f t="shared" ref="AB131:AB198" si="68">C131=V131</f>
        <v>1</v>
      </c>
      <c r="AC131" s="12" t="b">
        <f t="shared" ref="AC131:AC198" si="69">D131=W131</f>
        <v>1</v>
      </c>
      <c r="AD131" s="12" t="b">
        <f t="shared" ref="AD131:AD198" si="70">E131=X131</f>
        <v>1</v>
      </c>
      <c r="AE131" s="12" t="b">
        <f t="shared" ref="AE131:AE198" si="71">F131=Y131</f>
        <v>1</v>
      </c>
      <c r="AF131" s="12" t="b">
        <f t="shared" ref="AF131:AF198" si="72">G131=Z131</f>
        <v>1</v>
      </c>
    </row>
    <row r="132" spans="1:32" s="12" customFormat="1" ht="15.75" customHeight="1">
      <c r="A132" s="285"/>
      <c r="B132" s="182" t="s">
        <v>145</v>
      </c>
      <c r="C132" s="89">
        <v>601</v>
      </c>
      <c r="D132" s="36" t="s">
        <v>85</v>
      </c>
      <c r="E132" s="36" t="s">
        <v>618</v>
      </c>
      <c r="F132" s="36" t="s">
        <v>894</v>
      </c>
      <c r="G132" s="37" t="s">
        <v>153</v>
      </c>
      <c r="H132" s="183">
        <v>30</v>
      </c>
      <c r="I132" s="183">
        <v>30</v>
      </c>
      <c r="J132" s="183">
        <v>30</v>
      </c>
      <c r="K132" s="183">
        <v>30</v>
      </c>
      <c r="L132" s="183">
        <v>30</v>
      </c>
      <c r="M132" s="183">
        <v>30</v>
      </c>
      <c r="N132" s="183"/>
      <c r="O132" s="183">
        <v>30</v>
      </c>
      <c r="P132" s="183">
        <v>30</v>
      </c>
      <c r="Q132" s="183">
        <v>30</v>
      </c>
      <c r="R132" s="472">
        <f t="shared" si="63"/>
        <v>0</v>
      </c>
      <c r="S132" s="472">
        <f t="shared" si="64"/>
        <v>0</v>
      </c>
      <c r="T132" s="472">
        <f t="shared" si="65"/>
        <v>0</v>
      </c>
      <c r="U132" s="182" t="s">
        <v>145</v>
      </c>
      <c r="V132" s="89">
        <v>601</v>
      </c>
      <c r="W132" s="36" t="s">
        <v>85</v>
      </c>
      <c r="X132" s="36" t="s">
        <v>618</v>
      </c>
      <c r="Y132" s="36" t="s">
        <v>894</v>
      </c>
      <c r="Z132" s="37" t="s">
        <v>153</v>
      </c>
      <c r="AA132" s="12" t="b">
        <f t="shared" si="67"/>
        <v>1</v>
      </c>
      <c r="AB132" s="12" t="b">
        <f t="shared" si="68"/>
        <v>1</v>
      </c>
      <c r="AC132" s="12" t="b">
        <f t="shared" si="69"/>
        <v>1</v>
      </c>
      <c r="AD132" s="12" t="b">
        <f t="shared" si="70"/>
        <v>1</v>
      </c>
      <c r="AE132" s="12" t="b">
        <f t="shared" si="71"/>
        <v>1</v>
      </c>
      <c r="AF132" s="12" t="b">
        <f t="shared" si="72"/>
        <v>1</v>
      </c>
    </row>
    <row r="133" spans="1:32" s="12" customFormat="1" ht="15.75" customHeight="1">
      <c r="A133" s="285"/>
      <c r="B133" s="28" t="s">
        <v>103</v>
      </c>
      <c r="C133" s="29" t="s">
        <v>87</v>
      </c>
      <c r="D133" s="30" t="s">
        <v>104</v>
      </c>
      <c r="E133" s="30" t="s">
        <v>83</v>
      </c>
      <c r="F133" s="30" t="s">
        <v>223</v>
      </c>
      <c r="G133" s="30" t="s">
        <v>90</v>
      </c>
      <c r="H133" s="31">
        <f t="shared" ref="H133:J138" si="73">H134</f>
        <v>160</v>
      </c>
      <c r="I133" s="31">
        <f t="shared" si="73"/>
        <v>160</v>
      </c>
      <c r="J133" s="31">
        <f t="shared" si="73"/>
        <v>160</v>
      </c>
      <c r="K133" s="31">
        <v>160</v>
      </c>
      <c r="L133" s="31">
        <v>160</v>
      </c>
      <c r="M133" s="31">
        <v>160</v>
      </c>
      <c r="N133" s="31"/>
      <c r="O133" s="31">
        <v>160</v>
      </c>
      <c r="P133" s="31">
        <v>160</v>
      </c>
      <c r="Q133" s="31">
        <v>160</v>
      </c>
      <c r="R133" s="472">
        <f t="shared" si="63"/>
        <v>0</v>
      </c>
      <c r="S133" s="472">
        <f t="shared" si="64"/>
        <v>0</v>
      </c>
      <c r="T133" s="472">
        <f t="shared" si="65"/>
        <v>0</v>
      </c>
      <c r="U133" s="28" t="s">
        <v>103</v>
      </c>
      <c r="V133" s="29" t="s">
        <v>87</v>
      </c>
      <c r="W133" s="30" t="s">
        <v>104</v>
      </c>
      <c r="X133" s="30" t="s">
        <v>83</v>
      </c>
      <c r="Y133" s="30" t="s">
        <v>223</v>
      </c>
      <c r="Z133" s="30" t="s">
        <v>90</v>
      </c>
      <c r="AA133" s="12" t="b">
        <f t="shared" si="67"/>
        <v>1</v>
      </c>
      <c r="AB133" s="12" t="b">
        <f t="shared" si="68"/>
        <v>1</v>
      </c>
      <c r="AC133" s="12" t="b">
        <f t="shared" si="69"/>
        <v>1</v>
      </c>
      <c r="AD133" s="12" t="b">
        <f t="shared" si="70"/>
        <v>1</v>
      </c>
      <c r="AE133" s="12" t="b">
        <f t="shared" si="71"/>
        <v>1</v>
      </c>
      <c r="AF133" s="12" t="b">
        <f t="shared" si="72"/>
        <v>1</v>
      </c>
    </row>
    <row r="134" spans="1:32" s="12" customFormat="1" ht="15.75" customHeight="1">
      <c r="A134" s="285"/>
      <c r="B134" s="32" t="s">
        <v>569</v>
      </c>
      <c r="C134" s="33" t="s">
        <v>87</v>
      </c>
      <c r="D134" s="34" t="s">
        <v>104</v>
      </c>
      <c r="E134" s="34" t="s">
        <v>7</v>
      </c>
      <c r="F134" s="34" t="s">
        <v>223</v>
      </c>
      <c r="G134" s="34" t="s">
        <v>90</v>
      </c>
      <c r="H134" s="35">
        <f t="shared" si="73"/>
        <v>160</v>
      </c>
      <c r="I134" s="35">
        <f t="shared" si="73"/>
        <v>160</v>
      </c>
      <c r="J134" s="35">
        <f t="shared" si="73"/>
        <v>160</v>
      </c>
      <c r="K134" s="35">
        <v>160</v>
      </c>
      <c r="L134" s="35">
        <v>160</v>
      </c>
      <c r="M134" s="35">
        <v>160</v>
      </c>
      <c r="N134" s="35"/>
      <c r="O134" s="35">
        <v>160</v>
      </c>
      <c r="P134" s="35">
        <v>160</v>
      </c>
      <c r="Q134" s="35">
        <v>160</v>
      </c>
      <c r="R134" s="472">
        <f t="shared" si="63"/>
        <v>0</v>
      </c>
      <c r="S134" s="472">
        <f t="shared" si="64"/>
        <v>0</v>
      </c>
      <c r="T134" s="472">
        <f t="shared" si="65"/>
        <v>0</v>
      </c>
      <c r="U134" s="32" t="s">
        <v>569</v>
      </c>
      <c r="V134" s="33" t="s">
        <v>87</v>
      </c>
      <c r="W134" s="34" t="s">
        <v>104</v>
      </c>
      <c r="X134" s="34" t="s">
        <v>7</v>
      </c>
      <c r="Y134" s="34" t="s">
        <v>223</v>
      </c>
      <c r="Z134" s="34" t="s">
        <v>90</v>
      </c>
      <c r="AA134" s="12" t="b">
        <f t="shared" si="67"/>
        <v>1</v>
      </c>
      <c r="AB134" s="12" t="b">
        <f t="shared" si="68"/>
        <v>1</v>
      </c>
      <c r="AC134" s="12" t="b">
        <f t="shared" si="69"/>
        <v>1</v>
      </c>
      <c r="AD134" s="12" t="b">
        <f t="shared" si="70"/>
        <v>1</v>
      </c>
      <c r="AE134" s="12" t="b">
        <f t="shared" si="71"/>
        <v>1</v>
      </c>
      <c r="AF134" s="12" t="b">
        <f t="shared" si="72"/>
        <v>1</v>
      </c>
    </row>
    <row r="135" spans="1:32" s="12" customFormat="1" ht="15.75" customHeight="1">
      <c r="A135" s="285"/>
      <c r="B135" s="182" t="s">
        <v>1167</v>
      </c>
      <c r="C135" s="36" t="s">
        <v>87</v>
      </c>
      <c r="D135" s="37" t="s">
        <v>104</v>
      </c>
      <c r="E135" s="37" t="s">
        <v>7</v>
      </c>
      <c r="F135" s="37" t="s">
        <v>246</v>
      </c>
      <c r="G135" s="37" t="s">
        <v>90</v>
      </c>
      <c r="H135" s="183">
        <f t="shared" si="73"/>
        <v>160</v>
      </c>
      <c r="I135" s="183">
        <f t="shared" si="73"/>
        <v>160</v>
      </c>
      <c r="J135" s="183">
        <f t="shared" si="73"/>
        <v>160</v>
      </c>
      <c r="K135" s="183">
        <v>160</v>
      </c>
      <c r="L135" s="183">
        <v>160</v>
      </c>
      <c r="M135" s="183">
        <v>160</v>
      </c>
      <c r="N135" s="183"/>
      <c r="O135" s="183">
        <v>160</v>
      </c>
      <c r="P135" s="183">
        <v>160</v>
      </c>
      <c r="Q135" s="183">
        <v>160</v>
      </c>
      <c r="R135" s="472">
        <f t="shared" si="63"/>
        <v>0</v>
      </c>
      <c r="S135" s="472">
        <f t="shared" si="64"/>
        <v>0</v>
      </c>
      <c r="T135" s="472">
        <f t="shared" si="65"/>
        <v>0</v>
      </c>
      <c r="U135" s="182" t="s">
        <v>1167</v>
      </c>
      <c r="V135" s="36" t="s">
        <v>87</v>
      </c>
      <c r="W135" s="37" t="s">
        <v>104</v>
      </c>
      <c r="X135" s="37" t="s">
        <v>7</v>
      </c>
      <c r="Y135" s="37" t="s">
        <v>246</v>
      </c>
      <c r="Z135" s="37" t="s">
        <v>90</v>
      </c>
      <c r="AA135" s="12" t="b">
        <f t="shared" si="67"/>
        <v>1</v>
      </c>
      <c r="AB135" s="12" t="b">
        <f t="shared" si="68"/>
        <v>1</v>
      </c>
      <c r="AC135" s="12" t="b">
        <f t="shared" si="69"/>
        <v>1</v>
      </c>
      <c r="AD135" s="12" t="b">
        <f t="shared" si="70"/>
        <v>1</v>
      </c>
      <c r="AE135" s="12" t="b">
        <f t="shared" si="71"/>
        <v>1</v>
      </c>
      <c r="AF135" s="12" t="b">
        <f t="shared" si="72"/>
        <v>1</v>
      </c>
    </row>
    <row r="136" spans="1:32" s="12" customFormat="1" ht="15.75" customHeight="1">
      <c r="A136" s="285"/>
      <c r="B136" s="182" t="s">
        <v>1202</v>
      </c>
      <c r="C136" s="36" t="s">
        <v>87</v>
      </c>
      <c r="D136" s="37" t="s">
        <v>104</v>
      </c>
      <c r="E136" s="37" t="s">
        <v>7</v>
      </c>
      <c r="F136" s="230" t="s">
        <v>934</v>
      </c>
      <c r="G136" s="230" t="s">
        <v>90</v>
      </c>
      <c r="H136" s="252">
        <f>H137</f>
        <v>160</v>
      </c>
      <c r="I136" s="252">
        <f>I137</f>
        <v>160</v>
      </c>
      <c r="J136" s="252">
        <f>J137</f>
        <v>160</v>
      </c>
      <c r="K136" s="252">
        <v>160</v>
      </c>
      <c r="L136" s="252">
        <v>160</v>
      </c>
      <c r="M136" s="252">
        <v>160</v>
      </c>
      <c r="N136" s="252"/>
      <c r="O136" s="252">
        <v>160</v>
      </c>
      <c r="P136" s="252">
        <v>160</v>
      </c>
      <c r="Q136" s="252">
        <v>160</v>
      </c>
      <c r="R136" s="472">
        <f t="shared" si="63"/>
        <v>0</v>
      </c>
      <c r="S136" s="472">
        <f t="shared" si="64"/>
        <v>0</v>
      </c>
      <c r="T136" s="472">
        <f t="shared" si="65"/>
        <v>0</v>
      </c>
      <c r="U136" s="182" t="s">
        <v>1202</v>
      </c>
      <c r="V136" s="36" t="s">
        <v>87</v>
      </c>
      <c r="W136" s="37" t="s">
        <v>104</v>
      </c>
      <c r="X136" s="37" t="s">
        <v>7</v>
      </c>
      <c r="Y136" s="230" t="s">
        <v>934</v>
      </c>
      <c r="Z136" s="230" t="s">
        <v>90</v>
      </c>
      <c r="AA136" s="12" t="b">
        <f t="shared" si="67"/>
        <v>1</v>
      </c>
      <c r="AB136" s="12" t="b">
        <f t="shared" si="68"/>
        <v>1</v>
      </c>
      <c r="AC136" s="12" t="b">
        <f t="shared" si="69"/>
        <v>1</v>
      </c>
      <c r="AD136" s="12" t="b">
        <f t="shared" si="70"/>
        <v>1</v>
      </c>
      <c r="AE136" s="12" t="b">
        <f t="shared" si="71"/>
        <v>1</v>
      </c>
      <c r="AF136" s="12" t="b">
        <f t="shared" si="72"/>
        <v>1</v>
      </c>
    </row>
    <row r="137" spans="1:32" s="12" customFormat="1" ht="15.75" customHeight="1">
      <c r="A137" s="285"/>
      <c r="B137" s="182" t="s">
        <v>939</v>
      </c>
      <c r="C137" s="36" t="s">
        <v>87</v>
      </c>
      <c r="D137" s="37" t="s">
        <v>104</v>
      </c>
      <c r="E137" s="37" t="s">
        <v>7</v>
      </c>
      <c r="F137" s="230" t="s">
        <v>935</v>
      </c>
      <c r="G137" s="37" t="s">
        <v>90</v>
      </c>
      <c r="H137" s="183">
        <f t="shared" si="73"/>
        <v>160</v>
      </c>
      <c r="I137" s="183">
        <f t="shared" si="73"/>
        <v>160</v>
      </c>
      <c r="J137" s="183">
        <f t="shared" si="73"/>
        <v>160</v>
      </c>
      <c r="K137" s="183">
        <v>160</v>
      </c>
      <c r="L137" s="183">
        <v>160</v>
      </c>
      <c r="M137" s="183">
        <v>160</v>
      </c>
      <c r="N137" s="183"/>
      <c r="O137" s="183">
        <v>160</v>
      </c>
      <c r="P137" s="183">
        <v>160</v>
      </c>
      <c r="Q137" s="183">
        <v>160</v>
      </c>
      <c r="R137" s="472">
        <f t="shared" si="63"/>
        <v>0</v>
      </c>
      <c r="S137" s="472">
        <f t="shared" si="64"/>
        <v>0</v>
      </c>
      <c r="T137" s="472">
        <f t="shared" si="65"/>
        <v>0</v>
      </c>
      <c r="U137" s="182" t="s">
        <v>939</v>
      </c>
      <c r="V137" s="36" t="s">
        <v>87</v>
      </c>
      <c r="W137" s="37" t="s">
        <v>104</v>
      </c>
      <c r="X137" s="37" t="s">
        <v>7</v>
      </c>
      <c r="Y137" s="230" t="s">
        <v>935</v>
      </c>
      <c r="Z137" s="37" t="s">
        <v>90</v>
      </c>
      <c r="AA137" s="12" t="b">
        <f t="shared" si="67"/>
        <v>1</v>
      </c>
      <c r="AB137" s="12" t="b">
        <f t="shared" si="68"/>
        <v>1</v>
      </c>
      <c r="AC137" s="12" t="b">
        <f t="shared" si="69"/>
        <v>1</v>
      </c>
      <c r="AD137" s="12" t="b">
        <f t="shared" si="70"/>
        <v>1</v>
      </c>
      <c r="AE137" s="12" t="b">
        <f t="shared" si="71"/>
        <v>1</v>
      </c>
      <c r="AF137" s="12" t="b">
        <f t="shared" si="72"/>
        <v>1</v>
      </c>
    </row>
    <row r="138" spans="1:32" s="12" customFormat="1" ht="15.75" customHeight="1">
      <c r="A138" s="285"/>
      <c r="B138" s="54" t="s">
        <v>749</v>
      </c>
      <c r="C138" s="36" t="s">
        <v>87</v>
      </c>
      <c r="D138" s="37" t="s">
        <v>104</v>
      </c>
      <c r="E138" s="37" t="s">
        <v>7</v>
      </c>
      <c r="F138" s="230" t="s">
        <v>936</v>
      </c>
      <c r="G138" s="37" t="s">
        <v>90</v>
      </c>
      <c r="H138" s="183">
        <f t="shared" si="73"/>
        <v>160</v>
      </c>
      <c r="I138" s="183">
        <f t="shared" si="73"/>
        <v>160</v>
      </c>
      <c r="J138" s="183">
        <f t="shared" si="73"/>
        <v>160</v>
      </c>
      <c r="K138" s="183">
        <v>160</v>
      </c>
      <c r="L138" s="183">
        <v>160</v>
      </c>
      <c r="M138" s="183">
        <v>160</v>
      </c>
      <c r="N138" s="183"/>
      <c r="O138" s="183">
        <v>160</v>
      </c>
      <c r="P138" s="183">
        <v>160</v>
      </c>
      <c r="Q138" s="183">
        <v>160</v>
      </c>
      <c r="R138" s="472">
        <f t="shared" si="63"/>
        <v>0</v>
      </c>
      <c r="S138" s="472">
        <f t="shared" si="64"/>
        <v>0</v>
      </c>
      <c r="T138" s="472">
        <f t="shared" si="65"/>
        <v>0</v>
      </c>
      <c r="U138" s="54" t="s">
        <v>749</v>
      </c>
      <c r="V138" s="36" t="s">
        <v>87</v>
      </c>
      <c r="W138" s="37" t="s">
        <v>104</v>
      </c>
      <c r="X138" s="37" t="s">
        <v>7</v>
      </c>
      <c r="Y138" s="230" t="s">
        <v>936</v>
      </c>
      <c r="Z138" s="37" t="s">
        <v>90</v>
      </c>
      <c r="AA138" s="12" t="b">
        <f t="shared" si="67"/>
        <v>1</v>
      </c>
      <c r="AB138" s="12" t="b">
        <f t="shared" si="68"/>
        <v>1</v>
      </c>
      <c r="AC138" s="12" t="b">
        <f t="shared" si="69"/>
        <v>1</v>
      </c>
      <c r="AD138" s="12" t="b">
        <f t="shared" si="70"/>
        <v>1</v>
      </c>
      <c r="AE138" s="12" t="b">
        <f t="shared" si="71"/>
        <v>1</v>
      </c>
      <c r="AF138" s="12" t="b">
        <f t="shared" si="72"/>
        <v>1</v>
      </c>
    </row>
    <row r="139" spans="1:32" s="12" customFormat="1" ht="15.75" customHeight="1">
      <c r="A139" s="285"/>
      <c r="B139" s="182" t="s">
        <v>145</v>
      </c>
      <c r="C139" s="36" t="s">
        <v>87</v>
      </c>
      <c r="D139" s="37" t="s">
        <v>104</v>
      </c>
      <c r="E139" s="37" t="s">
        <v>7</v>
      </c>
      <c r="F139" s="230" t="s">
        <v>936</v>
      </c>
      <c r="G139" s="37" t="s">
        <v>153</v>
      </c>
      <c r="H139" s="183">
        <v>160</v>
      </c>
      <c r="I139" s="183">
        <v>160</v>
      </c>
      <c r="J139" s="183">
        <v>160</v>
      </c>
      <c r="K139" s="183">
        <v>160</v>
      </c>
      <c r="L139" s="183">
        <v>160</v>
      </c>
      <c r="M139" s="183">
        <v>160</v>
      </c>
      <c r="N139" s="183"/>
      <c r="O139" s="183">
        <v>160</v>
      </c>
      <c r="P139" s="183">
        <v>160</v>
      </c>
      <c r="Q139" s="183">
        <v>160</v>
      </c>
      <c r="R139" s="472">
        <f t="shared" si="63"/>
        <v>0</v>
      </c>
      <c r="S139" s="472">
        <f t="shared" si="64"/>
        <v>0</v>
      </c>
      <c r="T139" s="472">
        <f t="shared" si="65"/>
        <v>0</v>
      </c>
      <c r="U139" s="182" t="s">
        <v>145</v>
      </c>
      <c r="V139" s="36" t="s">
        <v>87</v>
      </c>
      <c r="W139" s="37" t="s">
        <v>104</v>
      </c>
      <c r="X139" s="37" t="s">
        <v>7</v>
      </c>
      <c r="Y139" s="230" t="s">
        <v>936</v>
      </c>
      <c r="Z139" s="37" t="s">
        <v>153</v>
      </c>
      <c r="AA139" s="12" t="b">
        <f t="shared" si="67"/>
        <v>1</v>
      </c>
      <c r="AB139" s="12" t="b">
        <f t="shared" si="68"/>
        <v>1</v>
      </c>
      <c r="AC139" s="12" t="b">
        <f t="shared" si="69"/>
        <v>1</v>
      </c>
      <c r="AD139" s="12" t="b">
        <f t="shared" si="70"/>
        <v>1</v>
      </c>
      <c r="AE139" s="12" t="b">
        <f t="shared" si="71"/>
        <v>1</v>
      </c>
      <c r="AF139" s="12" t="b">
        <f t="shared" si="72"/>
        <v>1</v>
      </c>
    </row>
    <row r="140" spans="1:32" s="12" customFormat="1" ht="15.75" customHeight="1">
      <c r="A140" s="285"/>
      <c r="B140" s="28" t="s">
        <v>438</v>
      </c>
      <c r="C140" s="29" t="s">
        <v>87</v>
      </c>
      <c r="D140" s="30" t="s">
        <v>82</v>
      </c>
      <c r="E140" s="30" t="s">
        <v>83</v>
      </c>
      <c r="F140" s="30" t="s">
        <v>223</v>
      </c>
      <c r="G140" s="30" t="s">
        <v>90</v>
      </c>
      <c r="H140" s="31">
        <f t="shared" ref="H140:J141" si="74">H141</f>
        <v>2061</v>
      </c>
      <c r="I140" s="31">
        <f t="shared" si="74"/>
        <v>2061</v>
      </c>
      <c r="J140" s="31">
        <f t="shared" si="74"/>
        <v>2061</v>
      </c>
      <c r="K140" s="31">
        <v>2061</v>
      </c>
      <c r="L140" s="31">
        <v>2061</v>
      </c>
      <c r="M140" s="31">
        <v>2061</v>
      </c>
      <c r="N140" s="31"/>
      <c r="O140" s="31">
        <v>2061</v>
      </c>
      <c r="P140" s="31">
        <v>2061</v>
      </c>
      <c r="Q140" s="31">
        <v>2061</v>
      </c>
      <c r="R140" s="472">
        <f t="shared" si="63"/>
        <v>0</v>
      </c>
      <c r="S140" s="472">
        <f t="shared" si="64"/>
        <v>0</v>
      </c>
      <c r="T140" s="472">
        <f t="shared" si="65"/>
        <v>0</v>
      </c>
      <c r="U140" s="28" t="s">
        <v>438</v>
      </c>
      <c r="V140" s="29" t="s">
        <v>87</v>
      </c>
      <c r="W140" s="30" t="s">
        <v>82</v>
      </c>
      <c r="X140" s="30" t="s">
        <v>83</v>
      </c>
      <c r="Y140" s="30" t="s">
        <v>223</v>
      </c>
      <c r="Z140" s="30" t="s">
        <v>90</v>
      </c>
      <c r="AA140" s="12" t="b">
        <f t="shared" si="67"/>
        <v>1</v>
      </c>
      <c r="AB140" s="12" t="b">
        <f t="shared" si="68"/>
        <v>1</v>
      </c>
      <c r="AC140" s="12" t="b">
        <f t="shared" si="69"/>
        <v>1</v>
      </c>
      <c r="AD140" s="12" t="b">
        <f t="shared" si="70"/>
        <v>1</v>
      </c>
      <c r="AE140" s="12" t="b">
        <f t="shared" si="71"/>
        <v>1</v>
      </c>
      <c r="AF140" s="12" t="b">
        <f t="shared" si="72"/>
        <v>1</v>
      </c>
    </row>
    <row r="141" spans="1:32" s="12" customFormat="1" ht="15.75" customHeight="1">
      <c r="A141" s="285"/>
      <c r="B141" s="32" t="s">
        <v>35</v>
      </c>
      <c r="C141" s="33" t="s">
        <v>87</v>
      </c>
      <c r="D141" s="34" t="s">
        <v>82</v>
      </c>
      <c r="E141" s="34" t="s">
        <v>98</v>
      </c>
      <c r="F141" s="34" t="s">
        <v>223</v>
      </c>
      <c r="G141" s="34" t="s">
        <v>90</v>
      </c>
      <c r="H141" s="35">
        <f t="shared" si="74"/>
        <v>2061</v>
      </c>
      <c r="I141" s="35">
        <f t="shared" si="74"/>
        <v>2061</v>
      </c>
      <c r="J141" s="35">
        <f t="shared" si="74"/>
        <v>2061</v>
      </c>
      <c r="K141" s="35">
        <v>2061</v>
      </c>
      <c r="L141" s="35">
        <v>2061</v>
      </c>
      <c r="M141" s="35">
        <v>2061</v>
      </c>
      <c r="N141" s="35"/>
      <c r="O141" s="35">
        <v>2061</v>
      </c>
      <c r="P141" s="35">
        <v>2061</v>
      </c>
      <c r="Q141" s="35">
        <v>2061</v>
      </c>
      <c r="R141" s="472">
        <f t="shared" si="63"/>
        <v>0</v>
      </c>
      <c r="S141" s="472">
        <f t="shared" si="64"/>
        <v>0</v>
      </c>
      <c r="T141" s="472">
        <f t="shared" si="65"/>
        <v>0</v>
      </c>
      <c r="U141" s="32" t="s">
        <v>35</v>
      </c>
      <c r="V141" s="33" t="s">
        <v>87</v>
      </c>
      <c r="W141" s="34" t="s">
        <v>82</v>
      </c>
      <c r="X141" s="34" t="s">
        <v>98</v>
      </c>
      <c r="Y141" s="34" t="s">
        <v>223</v>
      </c>
      <c r="Z141" s="34" t="s">
        <v>90</v>
      </c>
      <c r="AA141" s="12" t="b">
        <f t="shared" si="67"/>
        <v>1</v>
      </c>
      <c r="AB141" s="12" t="b">
        <f t="shared" si="68"/>
        <v>1</v>
      </c>
      <c r="AC141" s="12" t="b">
        <f t="shared" si="69"/>
        <v>1</v>
      </c>
      <c r="AD141" s="12" t="b">
        <f t="shared" si="70"/>
        <v>1</v>
      </c>
      <c r="AE141" s="12" t="b">
        <f t="shared" si="71"/>
        <v>1</v>
      </c>
      <c r="AF141" s="12" t="b">
        <f t="shared" si="72"/>
        <v>1</v>
      </c>
    </row>
    <row r="142" spans="1:32" s="12" customFormat="1" ht="15.75" customHeight="1">
      <c r="A142" s="285"/>
      <c r="B142" s="182" t="s">
        <v>656</v>
      </c>
      <c r="C142" s="36" t="s">
        <v>87</v>
      </c>
      <c r="D142" s="37" t="s">
        <v>82</v>
      </c>
      <c r="E142" s="37" t="s">
        <v>98</v>
      </c>
      <c r="F142" s="37" t="s">
        <v>279</v>
      </c>
      <c r="G142" s="37" t="s">
        <v>90</v>
      </c>
      <c r="H142" s="183">
        <f t="shared" ref="H142:J144" si="75">H143</f>
        <v>2061</v>
      </c>
      <c r="I142" s="183">
        <f t="shared" si="75"/>
        <v>2061</v>
      </c>
      <c r="J142" s="183">
        <f t="shared" si="75"/>
        <v>2061</v>
      </c>
      <c r="K142" s="183">
        <v>2061</v>
      </c>
      <c r="L142" s="183">
        <v>2061</v>
      </c>
      <c r="M142" s="183">
        <v>2061</v>
      </c>
      <c r="N142" s="183"/>
      <c r="O142" s="183">
        <v>2061</v>
      </c>
      <c r="P142" s="183">
        <v>2061</v>
      </c>
      <c r="Q142" s="183">
        <v>2061</v>
      </c>
      <c r="R142" s="472">
        <f t="shared" si="63"/>
        <v>0</v>
      </c>
      <c r="S142" s="472">
        <f t="shared" si="64"/>
        <v>0</v>
      </c>
      <c r="T142" s="472">
        <f t="shared" si="65"/>
        <v>0</v>
      </c>
      <c r="U142" s="182" t="s">
        <v>656</v>
      </c>
      <c r="V142" s="36" t="s">
        <v>87</v>
      </c>
      <c r="W142" s="37" t="s">
        <v>82</v>
      </c>
      <c r="X142" s="37" t="s">
        <v>98</v>
      </c>
      <c r="Y142" s="37" t="s">
        <v>279</v>
      </c>
      <c r="Z142" s="37" t="s">
        <v>90</v>
      </c>
      <c r="AA142" s="12" t="b">
        <f t="shared" si="67"/>
        <v>1</v>
      </c>
      <c r="AB142" s="12" t="b">
        <f t="shared" si="68"/>
        <v>1</v>
      </c>
      <c r="AC142" s="12" t="b">
        <f t="shared" si="69"/>
        <v>1</v>
      </c>
      <c r="AD142" s="12" t="b">
        <f t="shared" si="70"/>
        <v>1</v>
      </c>
      <c r="AE142" s="12" t="b">
        <f t="shared" si="71"/>
        <v>1</v>
      </c>
      <c r="AF142" s="12" t="b">
        <f t="shared" si="72"/>
        <v>1</v>
      </c>
    </row>
    <row r="143" spans="1:32" s="12" customFormat="1" ht="15.75" customHeight="1">
      <c r="A143" s="285"/>
      <c r="B143" s="54" t="s">
        <v>217</v>
      </c>
      <c r="C143" s="36" t="s">
        <v>87</v>
      </c>
      <c r="D143" s="37" t="s">
        <v>82</v>
      </c>
      <c r="E143" s="37" t="s">
        <v>98</v>
      </c>
      <c r="F143" s="37" t="s">
        <v>280</v>
      </c>
      <c r="G143" s="37" t="s">
        <v>90</v>
      </c>
      <c r="H143" s="183">
        <f t="shared" si="75"/>
        <v>2061</v>
      </c>
      <c r="I143" s="183">
        <f t="shared" si="75"/>
        <v>2061</v>
      </c>
      <c r="J143" s="183">
        <f t="shared" si="75"/>
        <v>2061</v>
      </c>
      <c r="K143" s="183">
        <v>2061</v>
      </c>
      <c r="L143" s="183">
        <v>2061</v>
      </c>
      <c r="M143" s="183">
        <v>2061</v>
      </c>
      <c r="N143" s="183"/>
      <c r="O143" s="183">
        <v>2061</v>
      </c>
      <c r="P143" s="183">
        <v>2061</v>
      </c>
      <c r="Q143" s="183">
        <v>2061</v>
      </c>
      <c r="R143" s="472">
        <f t="shared" si="63"/>
        <v>0</v>
      </c>
      <c r="S143" s="472">
        <f t="shared" si="64"/>
        <v>0</v>
      </c>
      <c r="T143" s="472">
        <f t="shared" si="65"/>
        <v>0</v>
      </c>
      <c r="U143" s="54" t="s">
        <v>217</v>
      </c>
      <c r="V143" s="36" t="s">
        <v>87</v>
      </c>
      <c r="W143" s="37" t="s">
        <v>82</v>
      </c>
      <c r="X143" s="37" t="s">
        <v>98</v>
      </c>
      <c r="Y143" s="37" t="s">
        <v>280</v>
      </c>
      <c r="Z143" s="37" t="s">
        <v>90</v>
      </c>
      <c r="AA143" s="12" t="b">
        <f t="shared" si="67"/>
        <v>1</v>
      </c>
      <c r="AB143" s="12" t="b">
        <f t="shared" si="68"/>
        <v>1</v>
      </c>
      <c r="AC143" s="12" t="b">
        <f t="shared" si="69"/>
        <v>1</v>
      </c>
      <c r="AD143" s="12" t="b">
        <f t="shared" si="70"/>
        <v>1</v>
      </c>
      <c r="AE143" s="12" t="b">
        <f t="shared" si="71"/>
        <v>1</v>
      </c>
      <c r="AF143" s="12" t="b">
        <f t="shared" si="72"/>
        <v>1</v>
      </c>
    </row>
    <row r="144" spans="1:32" s="12" customFormat="1" ht="15.75" customHeight="1">
      <c r="A144" s="285"/>
      <c r="B144" s="54" t="s">
        <v>523</v>
      </c>
      <c r="C144" s="36" t="s">
        <v>87</v>
      </c>
      <c r="D144" s="37" t="s">
        <v>82</v>
      </c>
      <c r="E144" s="37" t="s">
        <v>98</v>
      </c>
      <c r="F144" s="37" t="s">
        <v>281</v>
      </c>
      <c r="G144" s="37" t="s">
        <v>90</v>
      </c>
      <c r="H144" s="183">
        <f t="shared" si="75"/>
        <v>2061</v>
      </c>
      <c r="I144" s="183">
        <f t="shared" si="75"/>
        <v>2061</v>
      </c>
      <c r="J144" s="183">
        <f t="shared" si="75"/>
        <v>2061</v>
      </c>
      <c r="K144" s="183">
        <v>2061</v>
      </c>
      <c r="L144" s="183">
        <v>2061</v>
      </c>
      <c r="M144" s="183">
        <v>2061</v>
      </c>
      <c r="N144" s="183"/>
      <c r="O144" s="183">
        <v>2061</v>
      </c>
      <c r="P144" s="183">
        <v>2061</v>
      </c>
      <c r="Q144" s="183">
        <v>2061</v>
      </c>
      <c r="R144" s="472">
        <f t="shared" si="63"/>
        <v>0</v>
      </c>
      <c r="S144" s="472">
        <f t="shared" si="64"/>
        <v>0</v>
      </c>
      <c r="T144" s="472">
        <f t="shared" si="65"/>
        <v>0</v>
      </c>
      <c r="U144" s="54" t="s">
        <v>523</v>
      </c>
      <c r="V144" s="36" t="s">
        <v>87</v>
      </c>
      <c r="W144" s="37" t="s">
        <v>82</v>
      </c>
      <c r="X144" s="37" t="s">
        <v>98</v>
      </c>
      <c r="Y144" s="37" t="s">
        <v>281</v>
      </c>
      <c r="Z144" s="37" t="s">
        <v>90</v>
      </c>
      <c r="AA144" s="12" t="b">
        <f t="shared" si="67"/>
        <v>1</v>
      </c>
      <c r="AB144" s="12" t="b">
        <f t="shared" si="68"/>
        <v>1</v>
      </c>
      <c r="AC144" s="12" t="b">
        <f t="shared" si="69"/>
        <v>1</v>
      </c>
      <c r="AD144" s="12" t="b">
        <f t="shared" si="70"/>
        <v>1</v>
      </c>
      <c r="AE144" s="12" t="b">
        <f t="shared" si="71"/>
        <v>1</v>
      </c>
      <c r="AF144" s="12" t="b">
        <f t="shared" si="72"/>
        <v>1</v>
      </c>
    </row>
    <row r="145" spans="1:32" s="12" customFormat="1" ht="15.75" customHeight="1">
      <c r="A145" s="285"/>
      <c r="B145" s="54" t="s">
        <v>189</v>
      </c>
      <c r="C145" s="36" t="s">
        <v>87</v>
      </c>
      <c r="D145" s="37" t="s">
        <v>82</v>
      </c>
      <c r="E145" s="37" t="s">
        <v>98</v>
      </c>
      <c r="F145" s="37" t="s">
        <v>307</v>
      </c>
      <c r="G145" s="37" t="s">
        <v>90</v>
      </c>
      <c r="H145" s="183">
        <f>H146</f>
        <v>2061</v>
      </c>
      <c r="I145" s="183">
        <f>I146</f>
        <v>2061</v>
      </c>
      <c r="J145" s="183">
        <f>J146</f>
        <v>2061</v>
      </c>
      <c r="K145" s="183">
        <v>2061</v>
      </c>
      <c r="L145" s="183">
        <v>2061</v>
      </c>
      <c r="M145" s="183">
        <v>2061</v>
      </c>
      <c r="N145" s="183"/>
      <c r="O145" s="183">
        <v>2061</v>
      </c>
      <c r="P145" s="183">
        <v>2061</v>
      </c>
      <c r="Q145" s="183">
        <v>2061</v>
      </c>
      <c r="R145" s="472">
        <f t="shared" si="63"/>
        <v>0</v>
      </c>
      <c r="S145" s="472">
        <f t="shared" si="64"/>
        <v>0</v>
      </c>
      <c r="T145" s="472">
        <f t="shared" si="65"/>
        <v>0</v>
      </c>
      <c r="U145" s="54" t="s">
        <v>189</v>
      </c>
      <c r="V145" s="36" t="s">
        <v>87</v>
      </c>
      <c r="W145" s="37" t="s">
        <v>82</v>
      </c>
      <c r="X145" s="37" t="s">
        <v>98</v>
      </c>
      <c r="Y145" s="37" t="s">
        <v>307</v>
      </c>
      <c r="Z145" s="37" t="s">
        <v>90</v>
      </c>
      <c r="AA145" s="12" t="b">
        <f t="shared" si="67"/>
        <v>1</v>
      </c>
      <c r="AB145" s="12" t="b">
        <f t="shared" si="68"/>
        <v>1</v>
      </c>
      <c r="AC145" s="12" t="b">
        <f t="shared" si="69"/>
        <v>1</v>
      </c>
      <c r="AD145" s="12" t="b">
        <f t="shared" si="70"/>
        <v>1</v>
      </c>
      <c r="AE145" s="12" t="b">
        <f t="shared" si="71"/>
        <v>1</v>
      </c>
      <c r="AF145" s="12" t="b">
        <f t="shared" si="72"/>
        <v>1</v>
      </c>
    </row>
    <row r="146" spans="1:32" s="12" customFormat="1" ht="15.75" customHeight="1">
      <c r="A146" s="285"/>
      <c r="B146" s="182" t="s">
        <v>145</v>
      </c>
      <c r="C146" s="36" t="s">
        <v>87</v>
      </c>
      <c r="D146" s="37" t="s">
        <v>82</v>
      </c>
      <c r="E146" s="37" t="s">
        <v>98</v>
      </c>
      <c r="F146" s="37" t="s">
        <v>307</v>
      </c>
      <c r="G146" s="37" t="s">
        <v>153</v>
      </c>
      <c r="H146" s="183">
        <v>2061</v>
      </c>
      <c r="I146" s="183">
        <v>2061</v>
      </c>
      <c r="J146" s="183">
        <v>2061</v>
      </c>
      <c r="K146" s="183">
        <v>2061</v>
      </c>
      <c r="L146" s="183">
        <v>2061</v>
      </c>
      <c r="M146" s="183">
        <v>2061</v>
      </c>
      <c r="N146" s="183"/>
      <c r="O146" s="183">
        <v>2061</v>
      </c>
      <c r="P146" s="183">
        <v>2061</v>
      </c>
      <c r="Q146" s="183">
        <v>2061</v>
      </c>
      <c r="R146" s="472">
        <f t="shared" si="63"/>
        <v>0</v>
      </c>
      <c r="S146" s="472">
        <f t="shared" si="64"/>
        <v>0</v>
      </c>
      <c r="T146" s="472">
        <f t="shared" si="65"/>
        <v>0</v>
      </c>
      <c r="U146" s="182" t="s">
        <v>145</v>
      </c>
      <c r="V146" s="36" t="s">
        <v>87</v>
      </c>
      <c r="W146" s="37" t="s">
        <v>82</v>
      </c>
      <c r="X146" s="37" t="s">
        <v>98</v>
      </c>
      <c r="Y146" s="37" t="s">
        <v>307</v>
      </c>
      <c r="Z146" s="37" t="s">
        <v>153</v>
      </c>
      <c r="AA146" s="12" t="b">
        <f t="shared" si="67"/>
        <v>1</v>
      </c>
      <c r="AB146" s="12" t="b">
        <f t="shared" si="68"/>
        <v>1</v>
      </c>
      <c r="AC146" s="12" t="b">
        <f t="shared" si="69"/>
        <v>1</v>
      </c>
      <c r="AD146" s="12" t="b">
        <f t="shared" si="70"/>
        <v>1</v>
      </c>
      <c r="AE146" s="12" t="b">
        <f t="shared" si="71"/>
        <v>1</v>
      </c>
      <c r="AF146" s="12" t="b">
        <f t="shared" si="72"/>
        <v>1</v>
      </c>
    </row>
    <row r="147" spans="1:32" s="11" customFormat="1" ht="15.75" customHeight="1">
      <c r="A147" s="282"/>
      <c r="B147" s="28" t="s">
        <v>111</v>
      </c>
      <c r="C147" s="29" t="s">
        <v>87</v>
      </c>
      <c r="D147" s="30" t="s">
        <v>72</v>
      </c>
      <c r="E147" s="30" t="s">
        <v>83</v>
      </c>
      <c r="F147" s="30" t="s">
        <v>223</v>
      </c>
      <c r="G147" s="30" t="s">
        <v>90</v>
      </c>
      <c r="H147" s="31">
        <f>H154+H148</f>
        <v>20607.5</v>
      </c>
      <c r="I147" s="31">
        <f>I154+I148</f>
        <v>20607.5</v>
      </c>
      <c r="J147" s="31">
        <f>J154+J148</f>
        <v>20607.5</v>
      </c>
      <c r="K147" s="31">
        <v>20607.5</v>
      </c>
      <c r="L147" s="31">
        <v>20607.5</v>
      </c>
      <c r="M147" s="31">
        <v>20607.5</v>
      </c>
      <c r="N147" s="31"/>
      <c r="O147" s="31">
        <v>20607.5</v>
      </c>
      <c r="P147" s="31">
        <v>20607.5</v>
      </c>
      <c r="Q147" s="31">
        <v>20607.5</v>
      </c>
      <c r="R147" s="472">
        <f t="shared" si="63"/>
        <v>0</v>
      </c>
      <c r="S147" s="472">
        <f t="shared" si="64"/>
        <v>0</v>
      </c>
      <c r="T147" s="472">
        <f t="shared" si="65"/>
        <v>0</v>
      </c>
      <c r="U147" s="28" t="s">
        <v>111</v>
      </c>
      <c r="V147" s="29" t="s">
        <v>87</v>
      </c>
      <c r="W147" s="30" t="s">
        <v>72</v>
      </c>
      <c r="X147" s="30" t="s">
        <v>83</v>
      </c>
      <c r="Y147" s="30" t="s">
        <v>223</v>
      </c>
      <c r="Z147" s="30" t="s">
        <v>90</v>
      </c>
      <c r="AA147" s="12" t="b">
        <f t="shared" si="67"/>
        <v>1</v>
      </c>
      <c r="AB147" s="12" t="b">
        <f t="shared" si="68"/>
        <v>1</v>
      </c>
      <c r="AC147" s="12" t="b">
        <f t="shared" si="69"/>
        <v>1</v>
      </c>
      <c r="AD147" s="12" t="b">
        <f t="shared" si="70"/>
        <v>1</v>
      </c>
      <c r="AE147" s="12" t="b">
        <f t="shared" si="71"/>
        <v>1</v>
      </c>
      <c r="AF147" s="12" t="b">
        <f t="shared" si="72"/>
        <v>1</v>
      </c>
    </row>
    <row r="148" spans="1:32" s="11" customFormat="1" ht="15.75" customHeight="1">
      <c r="A148" s="282"/>
      <c r="B148" s="32" t="s">
        <v>768</v>
      </c>
      <c r="C148" s="33" t="s">
        <v>87</v>
      </c>
      <c r="D148" s="34" t="s">
        <v>72</v>
      </c>
      <c r="E148" s="34" t="s">
        <v>98</v>
      </c>
      <c r="F148" s="34" t="s">
        <v>223</v>
      </c>
      <c r="G148" s="34" t="s">
        <v>90</v>
      </c>
      <c r="H148" s="35">
        <f t="shared" ref="H148:J152" si="76">H149</f>
        <v>4488</v>
      </c>
      <c r="I148" s="35">
        <f t="shared" si="76"/>
        <v>4488</v>
      </c>
      <c r="J148" s="35">
        <f t="shared" si="76"/>
        <v>4488</v>
      </c>
      <c r="K148" s="35">
        <v>4488</v>
      </c>
      <c r="L148" s="35">
        <v>4488</v>
      </c>
      <c r="M148" s="35">
        <v>4488</v>
      </c>
      <c r="N148" s="35"/>
      <c r="O148" s="35">
        <v>4488</v>
      </c>
      <c r="P148" s="35">
        <v>4488</v>
      </c>
      <c r="Q148" s="35">
        <v>4488</v>
      </c>
      <c r="R148" s="472">
        <f t="shared" si="63"/>
        <v>0</v>
      </c>
      <c r="S148" s="472">
        <f t="shared" si="64"/>
        <v>0</v>
      </c>
      <c r="T148" s="472">
        <f t="shared" si="65"/>
        <v>0</v>
      </c>
      <c r="U148" s="32" t="s">
        <v>768</v>
      </c>
      <c r="V148" s="33" t="s">
        <v>87</v>
      </c>
      <c r="W148" s="34" t="s">
        <v>72</v>
      </c>
      <c r="X148" s="34" t="s">
        <v>98</v>
      </c>
      <c r="Y148" s="34" t="s">
        <v>223</v>
      </c>
      <c r="Z148" s="34" t="s">
        <v>90</v>
      </c>
      <c r="AA148" s="12" t="b">
        <f t="shared" si="67"/>
        <v>1</v>
      </c>
      <c r="AB148" s="12" t="b">
        <f t="shared" si="68"/>
        <v>1</v>
      </c>
      <c r="AC148" s="12" t="b">
        <f t="shared" si="69"/>
        <v>1</v>
      </c>
      <c r="AD148" s="12" t="b">
        <f t="shared" si="70"/>
        <v>1</v>
      </c>
      <c r="AE148" s="12" t="b">
        <f t="shared" si="71"/>
        <v>1</v>
      </c>
      <c r="AF148" s="12" t="b">
        <f t="shared" si="72"/>
        <v>1</v>
      </c>
    </row>
    <row r="149" spans="1:32" s="11" customFormat="1" ht="15.75" customHeight="1">
      <c r="A149" s="282"/>
      <c r="B149" s="54" t="s">
        <v>1168</v>
      </c>
      <c r="C149" s="36" t="s">
        <v>87</v>
      </c>
      <c r="D149" s="37" t="s">
        <v>72</v>
      </c>
      <c r="E149" s="37" t="s">
        <v>98</v>
      </c>
      <c r="F149" s="37" t="s">
        <v>247</v>
      </c>
      <c r="G149" s="37" t="s">
        <v>90</v>
      </c>
      <c r="H149" s="183">
        <f t="shared" si="76"/>
        <v>4488</v>
      </c>
      <c r="I149" s="183">
        <f t="shared" si="76"/>
        <v>4488</v>
      </c>
      <c r="J149" s="183">
        <f t="shared" si="76"/>
        <v>4488</v>
      </c>
      <c r="K149" s="183">
        <v>4488</v>
      </c>
      <c r="L149" s="183">
        <v>4488</v>
      </c>
      <c r="M149" s="183">
        <v>4488</v>
      </c>
      <c r="N149" s="183"/>
      <c r="O149" s="183">
        <v>4488</v>
      </c>
      <c r="P149" s="183">
        <v>4488</v>
      </c>
      <c r="Q149" s="183">
        <v>4488</v>
      </c>
      <c r="R149" s="472">
        <f t="shared" si="63"/>
        <v>0</v>
      </c>
      <c r="S149" s="472">
        <f t="shared" si="64"/>
        <v>0</v>
      </c>
      <c r="T149" s="472">
        <f t="shared" si="65"/>
        <v>0</v>
      </c>
      <c r="U149" s="54" t="s">
        <v>1168</v>
      </c>
      <c r="V149" s="36" t="s">
        <v>87</v>
      </c>
      <c r="W149" s="37" t="s">
        <v>72</v>
      </c>
      <c r="X149" s="37" t="s">
        <v>98</v>
      </c>
      <c r="Y149" s="37" t="s">
        <v>247</v>
      </c>
      <c r="Z149" s="37" t="s">
        <v>90</v>
      </c>
      <c r="AA149" s="12" t="b">
        <f t="shared" si="67"/>
        <v>1</v>
      </c>
      <c r="AB149" s="12" t="b">
        <f t="shared" si="68"/>
        <v>1</v>
      </c>
      <c r="AC149" s="12" t="b">
        <f t="shared" si="69"/>
        <v>1</v>
      </c>
      <c r="AD149" s="12" t="b">
        <f t="shared" si="70"/>
        <v>1</v>
      </c>
      <c r="AE149" s="12" t="b">
        <f t="shared" si="71"/>
        <v>1</v>
      </c>
      <c r="AF149" s="12" t="b">
        <f t="shared" si="72"/>
        <v>1</v>
      </c>
    </row>
    <row r="150" spans="1:32" s="11" customFormat="1" ht="15.75" customHeight="1">
      <c r="A150" s="282"/>
      <c r="B150" s="182" t="s">
        <v>1203</v>
      </c>
      <c r="C150" s="36" t="s">
        <v>87</v>
      </c>
      <c r="D150" s="37" t="s">
        <v>72</v>
      </c>
      <c r="E150" s="37" t="s">
        <v>98</v>
      </c>
      <c r="F150" s="37" t="s">
        <v>1204</v>
      </c>
      <c r="G150" s="37" t="s">
        <v>90</v>
      </c>
      <c r="H150" s="183">
        <f t="shared" si="76"/>
        <v>4488</v>
      </c>
      <c r="I150" s="183">
        <f t="shared" si="76"/>
        <v>4488</v>
      </c>
      <c r="J150" s="183">
        <f t="shared" si="76"/>
        <v>4488</v>
      </c>
      <c r="K150" s="183">
        <v>4488</v>
      </c>
      <c r="L150" s="183">
        <v>4488</v>
      </c>
      <c r="M150" s="183">
        <v>4488</v>
      </c>
      <c r="N150" s="183"/>
      <c r="O150" s="183">
        <v>4488</v>
      </c>
      <c r="P150" s="183">
        <v>4488</v>
      </c>
      <c r="Q150" s="183">
        <v>4488</v>
      </c>
      <c r="R150" s="472">
        <f t="shared" si="63"/>
        <v>0</v>
      </c>
      <c r="S150" s="472">
        <f t="shared" si="64"/>
        <v>0</v>
      </c>
      <c r="T150" s="472">
        <f t="shared" si="65"/>
        <v>0</v>
      </c>
      <c r="U150" s="182" t="s">
        <v>1203</v>
      </c>
      <c r="V150" s="36" t="s">
        <v>87</v>
      </c>
      <c r="W150" s="37" t="s">
        <v>72</v>
      </c>
      <c r="X150" s="37" t="s">
        <v>98</v>
      </c>
      <c r="Y150" s="37" t="s">
        <v>1204</v>
      </c>
      <c r="Z150" s="37" t="s">
        <v>90</v>
      </c>
      <c r="AA150" s="12" t="b">
        <f t="shared" si="67"/>
        <v>1</v>
      </c>
      <c r="AB150" s="12" t="b">
        <f t="shared" si="68"/>
        <v>1</v>
      </c>
      <c r="AC150" s="12" t="b">
        <f t="shared" si="69"/>
        <v>1</v>
      </c>
      <c r="AD150" s="12" t="b">
        <f t="shared" si="70"/>
        <v>1</v>
      </c>
      <c r="AE150" s="12" t="b">
        <f t="shared" si="71"/>
        <v>1</v>
      </c>
      <c r="AF150" s="12" t="b">
        <f t="shared" si="72"/>
        <v>1</v>
      </c>
    </row>
    <row r="151" spans="1:32" s="11" customFormat="1" ht="15.75" customHeight="1">
      <c r="A151" s="282"/>
      <c r="B151" s="182" t="s">
        <v>252</v>
      </c>
      <c r="C151" s="36" t="s">
        <v>87</v>
      </c>
      <c r="D151" s="37" t="s">
        <v>72</v>
      </c>
      <c r="E151" s="37" t="s">
        <v>98</v>
      </c>
      <c r="F151" s="37" t="s">
        <v>1209</v>
      </c>
      <c r="G151" s="37" t="s">
        <v>90</v>
      </c>
      <c r="H151" s="183">
        <f t="shared" si="76"/>
        <v>4488</v>
      </c>
      <c r="I151" s="183">
        <f t="shared" si="76"/>
        <v>4488</v>
      </c>
      <c r="J151" s="183">
        <f t="shared" si="76"/>
        <v>4488</v>
      </c>
      <c r="K151" s="183">
        <v>4488</v>
      </c>
      <c r="L151" s="183">
        <v>4488</v>
      </c>
      <c r="M151" s="183">
        <v>4488</v>
      </c>
      <c r="N151" s="183"/>
      <c r="O151" s="183">
        <v>4488</v>
      </c>
      <c r="P151" s="183">
        <v>4488</v>
      </c>
      <c r="Q151" s="183">
        <v>4488</v>
      </c>
      <c r="R151" s="472">
        <f t="shared" si="63"/>
        <v>0</v>
      </c>
      <c r="S151" s="472">
        <f t="shared" si="64"/>
        <v>0</v>
      </c>
      <c r="T151" s="472">
        <f t="shared" si="65"/>
        <v>0</v>
      </c>
      <c r="U151" s="182" t="s">
        <v>252</v>
      </c>
      <c r="V151" s="36" t="s">
        <v>87</v>
      </c>
      <c r="W151" s="37" t="s">
        <v>72</v>
      </c>
      <c r="X151" s="37" t="s">
        <v>98</v>
      </c>
      <c r="Y151" s="37" t="s">
        <v>1209</v>
      </c>
      <c r="Z151" s="37" t="s">
        <v>90</v>
      </c>
      <c r="AA151" s="12" t="b">
        <f t="shared" si="67"/>
        <v>1</v>
      </c>
      <c r="AB151" s="12" t="b">
        <f t="shared" si="68"/>
        <v>1</v>
      </c>
      <c r="AC151" s="12" t="b">
        <f t="shared" si="69"/>
        <v>1</v>
      </c>
      <c r="AD151" s="12" t="b">
        <f t="shared" si="70"/>
        <v>1</v>
      </c>
      <c r="AE151" s="12" t="b">
        <f t="shared" si="71"/>
        <v>1</v>
      </c>
      <c r="AF151" s="12" t="b">
        <f t="shared" si="72"/>
        <v>1</v>
      </c>
    </row>
    <row r="152" spans="1:32" s="11" customFormat="1" ht="15.75" customHeight="1">
      <c r="A152" s="282"/>
      <c r="B152" s="182" t="s">
        <v>156</v>
      </c>
      <c r="C152" s="36" t="s">
        <v>87</v>
      </c>
      <c r="D152" s="37" t="s">
        <v>72</v>
      </c>
      <c r="E152" s="37" t="s">
        <v>98</v>
      </c>
      <c r="F152" s="37" t="s">
        <v>1210</v>
      </c>
      <c r="G152" s="37" t="s">
        <v>90</v>
      </c>
      <c r="H152" s="183">
        <f t="shared" si="76"/>
        <v>4488</v>
      </c>
      <c r="I152" s="183">
        <f t="shared" si="76"/>
        <v>4488</v>
      </c>
      <c r="J152" s="183">
        <f t="shared" si="76"/>
        <v>4488</v>
      </c>
      <c r="K152" s="183">
        <v>4488</v>
      </c>
      <c r="L152" s="183">
        <v>4488</v>
      </c>
      <c r="M152" s="183">
        <v>4488</v>
      </c>
      <c r="N152" s="183"/>
      <c r="O152" s="183">
        <v>4488</v>
      </c>
      <c r="P152" s="183">
        <v>4488</v>
      </c>
      <c r="Q152" s="183">
        <v>4488</v>
      </c>
      <c r="R152" s="472">
        <f t="shared" si="63"/>
        <v>0</v>
      </c>
      <c r="S152" s="472">
        <f t="shared" si="64"/>
        <v>0</v>
      </c>
      <c r="T152" s="472">
        <f t="shared" si="65"/>
        <v>0</v>
      </c>
      <c r="U152" s="182" t="s">
        <v>156</v>
      </c>
      <c r="V152" s="36" t="s">
        <v>87</v>
      </c>
      <c r="W152" s="37" t="s">
        <v>72</v>
      </c>
      <c r="X152" s="37" t="s">
        <v>98</v>
      </c>
      <c r="Y152" s="37" t="s">
        <v>1210</v>
      </c>
      <c r="Z152" s="37" t="s">
        <v>90</v>
      </c>
      <c r="AA152" s="12" t="b">
        <f t="shared" si="67"/>
        <v>1</v>
      </c>
      <c r="AB152" s="12" t="b">
        <f t="shared" si="68"/>
        <v>1</v>
      </c>
      <c r="AC152" s="12" t="b">
        <f t="shared" si="69"/>
        <v>1</v>
      </c>
      <c r="AD152" s="12" t="b">
        <f t="shared" si="70"/>
        <v>1</v>
      </c>
      <c r="AE152" s="12" t="b">
        <f t="shared" si="71"/>
        <v>1</v>
      </c>
      <c r="AF152" s="12" t="b">
        <f t="shared" si="72"/>
        <v>1</v>
      </c>
    </row>
    <row r="153" spans="1:32" s="11" customFormat="1" ht="15.75" customHeight="1">
      <c r="A153" s="282"/>
      <c r="B153" s="182" t="s">
        <v>145</v>
      </c>
      <c r="C153" s="36" t="s">
        <v>87</v>
      </c>
      <c r="D153" s="37" t="s">
        <v>72</v>
      </c>
      <c r="E153" s="37" t="s">
        <v>98</v>
      </c>
      <c r="F153" s="37" t="s">
        <v>1210</v>
      </c>
      <c r="G153" s="37" t="s">
        <v>153</v>
      </c>
      <c r="H153" s="183">
        <v>4488</v>
      </c>
      <c r="I153" s="183">
        <v>4488</v>
      </c>
      <c r="J153" s="183">
        <v>4488</v>
      </c>
      <c r="K153" s="183">
        <v>4488</v>
      </c>
      <c r="L153" s="183">
        <v>4488</v>
      </c>
      <c r="M153" s="183">
        <v>4488</v>
      </c>
      <c r="N153" s="183"/>
      <c r="O153" s="183">
        <v>4488</v>
      </c>
      <c r="P153" s="183">
        <v>4488</v>
      </c>
      <c r="Q153" s="183">
        <v>4488</v>
      </c>
      <c r="R153" s="472">
        <f t="shared" si="63"/>
        <v>0</v>
      </c>
      <c r="S153" s="472">
        <f t="shared" si="64"/>
        <v>0</v>
      </c>
      <c r="T153" s="472">
        <f t="shared" si="65"/>
        <v>0</v>
      </c>
      <c r="U153" s="182" t="s">
        <v>145</v>
      </c>
      <c r="V153" s="36" t="s">
        <v>87</v>
      </c>
      <c r="W153" s="37" t="s">
        <v>72</v>
      </c>
      <c r="X153" s="37" t="s">
        <v>98</v>
      </c>
      <c r="Y153" s="37" t="s">
        <v>1210</v>
      </c>
      <c r="Z153" s="37" t="s">
        <v>153</v>
      </c>
      <c r="AA153" s="12" t="b">
        <f t="shared" si="67"/>
        <v>1</v>
      </c>
      <c r="AB153" s="12" t="b">
        <f t="shared" si="68"/>
        <v>1</v>
      </c>
      <c r="AC153" s="12" t="b">
        <f t="shared" si="69"/>
        <v>1</v>
      </c>
      <c r="AD153" s="12" t="b">
        <f t="shared" si="70"/>
        <v>1</v>
      </c>
      <c r="AE153" s="12" t="b">
        <f t="shared" si="71"/>
        <v>1</v>
      </c>
      <c r="AF153" s="12" t="b">
        <f t="shared" si="72"/>
        <v>1</v>
      </c>
    </row>
    <row r="154" spans="1:32" s="11" customFormat="1" ht="15.75" customHeight="1">
      <c r="A154" s="282"/>
      <c r="B154" s="32" t="s">
        <v>84</v>
      </c>
      <c r="C154" s="33" t="s">
        <v>87</v>
      </c>
      <c r="D154" s="34" t="s">
        <v>72</v>
      </c>
      <c r="E154" s="34" t="s">
        <v>99</v>
      </c>
      <c r="F154" s="34" t="s">
        <v>223</v>
      </c>
      <c r="G154" s="34" t="s">
        <v>90</v>
      </c>
      <c r="H154" s="35">
        <f t="shared" ref="H154:J155" si="77">H155</f>
        <v>16119.5</v>
      </c>
      <c r="I154" s="35">
        <f t="shared" si="77"/>
        <v>16119.5</v>
      </c>
      <c r="J154" s="35">
        <f t="shared" si="77"/>
        <v>16119.5</v>
      </c>
      <c r="K154" s="35">
        <v>16119.5</v>
      </c>
      <c r="L154" s="35">
        <v>16119.5</v>
      </c>
      <c r="M154" s="35">
        <v>16119.5</v>
      </c>
      <c r="N154" s="35"/>
      <c r="O154" s="35">
        <v>16119.5</v>
      </c>
      <c r="P154" s="35">
        <v>16119.5</v>
      </c>
      <c r="Q154" s="35">
        <v>16119.5</v>
      </c>
      <c r="R154" s="472">
        <f t="shared" si="63"/>
        <v>0</v>
      </c>
      <c r="S154" s="472">
        <f t="shared" si="64"/>
        <v>0</v>
      </c>
      <c r="T154" s="472">
        <f t="shared" si="65"/>
        <v>0</v>
      </c>
      <c r="U154" s="32" t="s">
        <v>84</v>
      </c>
      <c r="V154" s="33" t="s">
        <v>87</v>
      </c>
      <c r="W154" s="34" t="s">
        <v>72</v>
      </c>
      <c r="X154" s="34" t="s">
        <v>99</v>
      </c>
      <c r="Y154" s="34" t="s">
        <v>223</v>
      </c>
      <c r="Z154" s="34" t="s">
        <v>90</v>
      </c>
      <c r="AA154" s="12" t="b">
        <f t="shared" si="67"/>
        <v>1</v>
      </c>
      <c r="AB154" s="12" t="b">
        <f t="shared" si="68"/>
        <v>1</v>
      </c>
      <c r="AC154" s="12" t="b">
        <f t="shared" si="69"/>
        <v>1</v>
      </c>
      <c r="AD154" s="12" t="b">
        <f t="shared" si="70"/>
        <v>1</v>
      </c>
      <c r="AE154" s="12" t="b">
        <f t="shared" si="71"/>
        <v>1</v>
      </c>
      <c r="AF154" s="12" t="b">
        <f t="shared" si="72"/>
        <v>1</v>
      </c>
    </row>
    <row r="155" spans="1:32" s="12" customFormat="1" ht="15.75" customHeight="1">
      <c r="A155" s="285"/>
      <c r="B155" s="54" t="s">
        <v>1168</v>
      </c>
      <c r="C155" s="36" t="s">
        <v>87</v>
      </c>
      <c r="D155" s="37" t="s">
        <v>72</v>
      </c>
      <c r="E155" s="37" t="s">
        <v>99</v>
      </c>
      <c r="F155" s="37" t="s">
        <v>247</v>
      </c>
      <c r="G155" s="37" t="s">
        <v>90</v>
      </c>
      <c r="H155" s="183">
        <f t="shared" si="77"/>
        <v>16119.5</v>
      </c>
      <c r="I155" s="183">
        <f t="shared" si="77"/>
        <v>16119.5</v>
      </c>
      <c r="J155" s="183">
        <f t="shared" si="77"/>
        <v>16119.5</v>
      </c>
      <c r="K155" s="183">
        <v>16119.5</v>
      </c>
      <c r="L155" s="183">
        <v>16119.5</v>
      </c>
      <c r="M155" s="183">
        <v>16119.5</v>
      </c>
      <c r="N155" s="183"/>
      <c r="O155" s="183">
        <v>16119.5</v>
      </c>
      <c r="P155" s="183">
        <v>16119.5</v>
      </c>
      <c r="Q155" s="183">
        <v>16119.5</v>
      </c>
      <c r="R155" s="472">
        <f t="shared" si="63"/>
        <v>0</v>
      </c>
      <c r="S155" s="472">
        <f t="shared" si="64"/>
        <v>0</v>
      </c>
      <c r="T155" s="472">
        <f t="shared" si="65"/>
        <v>0</v>
      </c>
      <c r="U155" s="54" t="s">
        <v>1168</v>
      </c>
      <c r="V155" s="36" t="s">
        <v>87</v>
      </c>
      <c r="W155" s="37" t="s">
        <v>72</v>
      </c>
      <c r="X155" s="37" t="s">
        <v>99</v>
      </c>
      <c r="Y155" s="37" t="s">
        <v>247</v>
      </c>
      <c r="Z155" s="37" t="s">
        <v>90</v>
      </c>
      <c r="AA155" s="12" t="b">
        <f t="shared" si="67"/>
        <v>1</v>
      </c>
      <c r="AB155" s="12" t="b">
        <f t="shared" si="68"/>
        <v>1</v>
      </c>
      <c r="AC155" s="12" t="b">
        <f t="shared" si="69"/>
        <v>1</v>
      </c>
      <c r="AD155" s="12" t="b">
        <f t="shared" si="70"/>
        <v>1</v>
      </c>
      <c r="AE155" s="12" t="b">
        <f t="shared" si="71"/>
        <v>1</v>
      </c>
      <c r="AF155" s="12" t="b">
        <f t="shared" si="72"/>
        <v>1</v>
      </c>
    </row>
    <row r="156" spans="1:32" s="12" customFormat="1" ht="15.75" customHeight="1">
      <c r="A156" s="285"/>
      <c r="B156" s="182" t="s">
        <v>1203</v>
      </c>
      <c r="C156" s="36" t="s">
        <v>87</v>
      </c>
      <c r="D156" s="37" t="s">
        <v>72</v>
      </c>
      <c r="E156" s="37" t="s">
        <v>99</v>
      </c>
      <c r="F156" s="37" t="s">
        <v>1204</v>
      </c>
      <c r="G156" s="37" t="s">
        <v>90</v>
      </c>
      <c r="H156" s="183">
        <f>H160+H157</f>
        <v>16119.5</v>
      </c>
      <c r="I156" s="183">
        <f>I160+I157</f>
        <v>16119.5</v>
      </c>
      <c r="J156" s="183">
        <f>J160+J157</f>
        <v>16119.5</v>
      </c>
      <c r="K156" s="183">
        <v>16119.5</v>
      </c>
      <c r="L156" s="183">
        <v>16119.5</v>
      </c>
      <c r="M156" s="183">
        <v>16119.5</v>
      </c>
      <c r="N156" s="183"/>
      <c r="O156" s="183">
        <v>16119.5</v>
      </c>
      <c r="P156" s="183">
        <v>16119.5</v>
      </c>
      <c r="Q156" s="183">
        <v>16119.5</v>
      </c>
      <c r="R156" s="472">
        <f t="shared" si="63"/>
        <v>0</v>
      </c>
      <c r="S156" s="472">
        <f t="shared" si="64"/>
        <v>0</v>
      </c>
      <c r="T156" s="472">
        <f t="shared" si="65"/>
        <v>0</v>
      </c>
      <c r="U156" s="182" t="s">
        <v>1203</v>
      </c>
      <c r="V156" s="36" t="s">
        <v>87</v>
      </c>
      <c r="W156" s="37" t="s">
        <v>72</v>
      </c>
      <c r="X156" s="37" t="s">
        <v>99</v>
      </c>
      <c r="Y156" s="37" t="s">
        <v>1204</v>
      </c>
      <c r="Z156" s="37" t="s">
        <v>90</v>
      </c>
      <c r="AA156" s="12" t="b">
        <f t="shared" si="67"/>
        <v>1</v>
      </c>
      <c r="AB156" s="12" t="b">
        <f t="shared" si="68"/>
        <v>1</v>
      </c>
      <c r="AC156" s="12" t="b">
        <f t="shared" si="69"/>
        <v>1</v>
      </c>
      <c r="AD156" s="12" t="b">
        <f t="shared" si="70"/>
        <v>1</v>
      </c>
      <c r="AE156" s="12" t="b">
        <f t="shared" si="71"/>
        <v>1</v>
      </c>
      <c r="AF156" s="12" t="b">
        <f t="shared" si="72"/>
        <v>1</v>
      </c>
    </row>
    <row r="157" spans="1:32" s="11" customFormat="1" ht="15.75" customHeight="1">
      <c r="A157" s="282"/>
      <c r="B157" s="54" t="s">
        <v>252</v>
      </c>
      <c r="C157" s="36" t="s">
        <v>87</v>
      </c>
      <c r="D157" s="37" t="s">
        <v>72</v>
      </c>
      <c r="E157" s="37" t="s">
        <v>99</v>
      </c>
      <c r="F157" s="37" t="s">
        <v>1209</v>
      </c>
      <c r="G157" s="37" t="s">
        <v>90</v>
      </c>
      <c r="H157" s="183">
        <f t="shared" ref="H157:J158" si="78">H158</f>
        <v>2752.5</v>
      </c>
      <c r="I157" s="183">
        <f t="shared" si="78"/>
        <v>2752.5</v>
      </c>
      <c r="J157" s="183">
        <f t="shared" si="78"/>
        <v>2752.5</v>
      </c>
      <c r="K157" s="183">
        <v>2752.5</v>
      </c>
      <c r="L157" s="183">
        <v>2752.5</v>
      </c>
      <c r="M157" s="183">
        <v>2752.5</v>
      </c>
      <c r="N157" s="183"/>
      <c r="O157" s="183">
        <v>2752.5</v>
      </c>
      <c r="P157" s="183">
        <v>2752.5</v>
      </c>
      <c r="Q157" s="183">
        <v>2752.5</v>
      </c>
      <c r="R157" s="472">
        <f t="shared" si="63"/>
        <v>0</v>
      </c>
      <c r="S157" s="472">
        <f t="shared" si="64"/>
        <v>0</v>
      </c>
      <c r="T157" s="472">
        <f t="shared" si="65"/>
        <v>0</v>
      </c>
      <c r="U157" s="54" t="s">
        <v>252</v>
      </c>
      <c r="V157" s="36" t="s">
        <v>87</v>
      </c>
      <c r="W157" s="37" t="s">
        <v>72</v>
      </c>
      <c r="X157" s="37" t="s">
        <v>99</v>
      </c>
      <c r="Y157" s="37" t="s">
        <v>1209</v>
      </c>
      <c r="Z157" s="37" t="s">
        <v>90</v>
      </c>
      <c r="AA157" s="12" t="b">
        <f t="shared" si="67"/>
        <v>1</v>
      </c>
      <c r="AB157" s="12" t="b">
        <f t="shared" si="68"/>
        <v>1</v>
      </c>
      <c r="AC157" s="12" t="b">
        <f t="shared" si="69"/>
        <v>1</v>
      </c>
      <c r="AD157" s="12" t="b">
        <f t="shared" si="70"/>
        <v>1</v>
      </c>
      <c r="AE157" s="12" t="b">
        <f t="shared" si="71"/>
        <v>1</v>
      </c>
      <c r="AF157" s="12" t="b">
        <f t="shared" si="72"/>
        <v>1</v>
      </c>
    </row>
    <row r="158" spans="1:32" s="11" customFormat="1" ht="15.75" customHeight="1">
      <c r="A158" s="282"/>
      <c r="B158" s="54" t="s">
        <v>156</v>
      </c>
      <c r="C158" s="36" t="s">
        <v>87</v>
      </c>
      <c r="D158" s="37" t="s">
        <v>72</v>
      </c>
      <c r="E158" s="37" t="s">
        <v>99</v>
      </c>
      <c r="F158" s="37" t="s">
        <v>1210</v>
      </c>
      <c r="G158" s="37" t="s">
        <v>90</v>
      </c>
      <c r="H158" s="183">
        <f t="shared" si="78"/>
        <v>2752.5</v>
      </c>
      <c r="I158" s="183">
        <f t="shared" si="78"/>
        <v>2752.5</v>
      </c>
      <c r="J158" s="183">
        <f t="shared" si="78"/>
        <v>2752.5</v>
      </c>
      <c r="K158" s="183">
        <v>2752.5</v>
      </c>
      <c r="L158" s="183">
        <v>2752.5</v>
      </c>
      <c r="M158" s="183">
        <v>2752.5</v>
      </c>
      <c r="N158" s="183"/>
      <c r="O158" s="183">
        <v>2752.5</v>
      </c>
      <c r="P158" s="183">
        <v>2752.5</v>
      </c>
      <c r="Q158" s="183">
        <v>2752.5</v>
      </c>
      <c r="R158" s="472">
        <f t="shared" si="63"/>
        <v>0</v>
      </c>
      <c r="S158" s="472">
        <f t="shared" si="64"/>
        <v>0</v>
      </c>
      <c r="T158" s="472">
        <f t="shared" si="65"/>
        <v>0</v>
      </c>
      <c r="U158" s="54" t="s">
        <v>156</v>
      </c>
      <c r="V158" s="36" t="s">
        <v>87</v>
      </c>
      <c r="W158" s="37" t="s">
        <v>72</v>
      </c>
      <c r="X158" s="37" t="s">
        <v>99</v>
      </c>
      <c r="Y158" s="37" t="s">
        <v>1210</v>
      </c>
      <c r="Z158" s="37" t="s">
        <v>90</v>
      </c>
      <c r="AA158" s="12" t="b">
        <f t="shared" si="67"/>
        <v>1</v>
      </c>
      <c r="AB158" s="12" t="b">
        <f t="shared" si="68"/>
        <v>1</v>
      </c>
      <c r="AC158" s="12" t="b">
        <f t="shared" si="69"/>
        <v>1</v>
      </c>
      <c r="AD158" s="12" t="b">
        <f t="shared" si="70"/>
        <v>1</v>
      </c>
      <c r="AE158" s="12" t="b">
        <f t="shared" si="71"/>
        <v>1</v>
      </c>
      <c r="AF158" s="12" t="b">
        <f t="shared" si="72"/>
        <v>1</v>
      </c>
    </row>
    <row r="159" spans="1:32" s="11" customFormat="1" ht="15.75" customHeight="1">
      <c r="A159" s="282"/>
      <c r="B159" s="182" t="s">
        <v>145</v>
      </c>
      <c r="C159" s="36" t="s">
        <v>87</v>
      </c>
      <c r="D159" s="37" t="s">
        <v>72</v>
      </c>
      <c r="E159" s="37" t="s">
        <v>99</v>
      </c>
      <c r="F159" s="37" t="s">
        <v>1210</v>
      </c>
      <c r="G159" s="37" t="s">
        <v>153</v>
      </c>
      <c r="H159" s="183">
        <v>2752.5</v>
      </c>
      <c r="I159" s="183">
        <v>2752.5</v>
      </c>
      <c r="J159" s="183">
        <v>2752.5</v>
      </c>
      <c r="K159" s="183">
        <v>2752.5</v>
      </c>
      <c r="L159" s="183">
        <v>2752.5</v>
      </c>
      <c r="M159" s="183">
        <v>2752.5</v>
      </c>
      <c r="N159" s="183"/>
      <c r="O159" s="183">
        <v>2752.5</v>
      </c>
      <c r="P159" s="183">
        <v>2752.5</v>
      </c>
      <c r="Q159" s="183">
        <v>2752.5</v>
      </c>
      <c r="R159" s="472">
        <f t="shared" si="63"/>
        <v>0</v>
      </c>
      <c r="S159" s="472">
        <f t="shared" si="64"/>
        <v>0</v>
      </c>
      <c r="T159" s="472">
        <f t="shared" si="65"/>
        <v>0</v>
      </c>
      <c r="U159" s="182" t="s">
        <v>145</v>
      </c>
      <c r="V159" s="36" t="s">
        <v>87</v>
      </c>
      <c r="W159" s="37" t="s">
        <v>72</v>
      </c>
      <c r="X159" s="37" t="s">
        <v>99</v>
      </c>
      <c r="Y159" s="37" t="s">
        <v>1210</v>
      </c>
      <c r="Z159" s="37" t="s">
        <v>153</v>
      </c>
      <c r="AA159" s="12" t="b">
        <f t="shared" si="67"/>
        <v>1</v>
      </c>
      <c r="AB159" s="12" t="b">
        <f t="shared" si="68"/>
        <v>1</v>
      </c>
      <c r="AC159" s="12" t="b">
        <f t="shared" si="69"/>
        <v>1</v>
      </c>
      <c r="AD159" s="12" t="b">
        <f t="shared" si="70"/>
        <v>1</v>
      </c>
      <c r="AE159" s="12" t="b">
        <f t="shared" si="71"/>
        <v>1</v>
      </c>
      <c r="AF159" s="12" t="b">
        <f t="shared" si="72"/>
        <v>1</v>
      </c>
    </row>
    <row r="160" spans="1:32" s="12" customFormat="1" ht="15.75" customHeight="1">
      <c r="A160" s="285"/>
      <c r="B160" s="54" t="s">
        <v>521</v>
      </c>
      <c r="C160" s="36" t="s">
        <v>87</v>
      </c>
      <c r="D160" s="37" t="s">
        <v>72</v>
      </c>
      <c r="E160" s="37" t="s">
        <v>99</v>
      </c>
      <c r="F160" s="37" t="s">
        <v>1211</v>
      </c>
      <c r="G160" s="37" t="s">
        <v>90</v>
      </c>
      <c r="H160" s="183">
        <f t="shared" ref="H160:J161" si="79">H161</f>
        <v>13367</v>
      </c>
      <c r="I160" s="183">
        <f t="shared" si="79"/>
        <v>13367</v>
      </c>
      <c r="J160" s="183">
        <f t="shared" si="79"/>
        <v>13367</v>
      </c>
      <c r="K160" s="183">
        <v>13367</v>
      </c>
      <c r="L160" s="183">
        <v>13367</v>
      </c>
      <c r="M160" s="183">
        <v>13367</v>
      </c>
      <c r="N160" s="183"/>
      <c r="O160" s="183">
        <v>13367</v>
      </c>
      <c r="P160" s="183">
        <v>13367</v>
      </c>
      <c r="Q160" s="183">
        <v>13367</v>
      </c>
      <c r="R160" s="472">
        <f t="shared" si="63"/>
        <v>0</v>
      </c>
      <c r="S160" s="472">
        <f t="shared" si="64"/>
        <v>0</v>
      </c>
      <c r="T160" s="472">
        <f t="shared" si="65"/>
        <v>0</v>
      </c>
      <c r="U160" s="54" t="s">
        <v>521</v>
      </c>
      <c r="V160" s="36" t="s">
        <v>87</v>
      </c>
      <c r="W160" s="37" t="s">
        <v>72</v>
      </c>
      <c r="X160" s="37" t="s">
        <v>99</v>
      </c>
      <c r="Y160" s="37" t="s">
        <v>1211</v>
      </c>
      <c r="Z160" s="37" t="s">
        <v>90</v>
      </c>
      <c r="AA160" s="12" t="b">
        <f t="shared" si="67"/>
        <v>1</v>
      </c>
      <c r="AB160" s="12" t="b">
        <f t="shared" si="68"/>
        <v>1</v>
      </c>
      <c r="AC160" s="12" t="b">
        <f t="shared" si="69"/>
        <v>1</v>
      </c>
      <c r="AD160" s="12" t="b">
        <f t="shared" si="70"/>
        <v>1</v>
      </c>
      <c r="AE160" s="12" t="b">
        <f t="shared" si="71"/>
        <v>1</v>
      </c>
      <c r="AF160" s="12" t="b">
        <f t="shared" si="72"/>
        <v>1</v>
      </c>
    </row>
    <row r="161" spans="1:32" s="12" customFormat="1" ht="15.75" customHeight="1">
      <c r="A161" s="285"/>
      <c r="B161" s="54" t="s">
        <v>198</v>
      </c>
      <c r="C161" s="36" t="s">
        <v>87</v>
      </c>
      <c r="D161" s="37" t="s">
        <v>72</v>
      </c>
      <c r="E161" s="37" t="s">
        <v>99</v>
      </c>
      <c r="F161" s="37" t="s">
        <v>1212</v>
      </c>
      <c r="G161" s="37" t="s">
        <v>90</v>
      </c>
      <c r="H161" s="183">
        <f t="shared" si="79"/>
        <v>13367</v>
      </c>
      <c r="I161" s="183">
        <f t="shared" si="79"/>
        <v>13367</v>
      </c>
      <c r="J161" s="183">
        <f t="shared" si="79"/>
        <v>13367</v>
      </c>
      <c r="K161" s="183">
        <v>13367</v>
      </c>
      <c r="L161" s="183">
        <v>13367</v>
      </c>
      <c r="M161" s="183">
        <v>13367</v>
      </c>
      <c r="N161" s="183"/>
      <c r="O161" s="183">
        <v>13367</v>
      </c>
      <c r="P161" s="183">
        <v>13367</v>
      </c>
      <c r="Q161" s="183">
        <v>13367</v>
      </c>
      <c r="R161" s="472">
        <f t="shared" si="63"/>
        <v>0</v>
      </c>
      <c r="S161" s="472">
        <f t="shared" si="64"/>
        <v>0</v>
      </c>
      <c r="T161" s="472">
        <f t="shared" si="65"/>
        <v>0</v>
      </c>
      <c r="U161" s="54" t="s">
        <v>198</v>
      </c>
      <c r="V161" s="36" t="s">
        <v>87</v>
      </c>
      <c r="W161" s="37" t="s">
        <v>72</v>
      </c>
      <c r="X161" s="37" t="s">
        <v>99</v>
      </c>
      <c r="Y161" s="37" t="s">
        <v>1212</v>
      </c>
      <c r="Z161" s="37" t="s">
        <v>90</v>
      </c>
      <c r="AA161" s="12" t="b">
        <f t="shared" si="67"/>
        <v>1</v>
      </c>
      <c r="AB161" s="12" t="b">
        <f t="shared" si="68"/>
        <v>1</v>
      </c>
      <c r="AC161" s="12" t="b">
        <f t="shared" si="69"/>
        <v>1</v>
      </c>
      <c r="AD161" s="12" t="b">
        <f t="shared" si="70"/>
        <v>1</v>
      </c>
      <c r="AE161" s="12" t="b">
        <f t="shared" si="71"/>
        <v>1</v>
      </c>
      <c r="AF161" s="12" t="b">
        <f t="shared" si="72"/>
        <v>1</v>
      </c>
    </row>
    <row r="162" spans="1:32" s="12" customFormat="1" ht="15.75" customHeight="1">
      <c r="A162" s="285"/>
      <c r="B162" s="182" t="s">
        <v>492</v>
      </c>
      <c r="C162" s="36" t="s">
        <v>87</v>
      </c>
      <c r="D162" s="37" t="s">
        <v>72</v>
      </c>
      <c r="E162" s="37" t="s">
        <v>99</v>
      </c>
      <c r="F162" s="37" t="s">
        <v>1212</v>
      </c>
      <c r="G162" s="37" t="s">
        <v>139</v>
      </c>
      <c r="H162" s="183">
        <v>13367</v>
      </c>
      <c r="I162" s="183">
        <v>13367</v>
      </c>
      <c r="J162" s="183">
        <v>13367</v>
      </c>
      <c r="K162" s="183">
        <v>13367</v>
      </c>
      <c r="L162" s="183">
        <v>13367</v>
      </c>
      <c r="M162" s="183">
        <v>13367</v>
      </c>
      <c r="N162" s="183"/>
      <c r="O162" s="183">
        <v>13367</v>
      </c>
      <c r="P162" s="183">
        <v>13367</v>
      </c>
      <c r="Q162" s="183">
        <v>13367</v>
      </c>
      <c r="R162" s="472">
        <f t="shared" si="63"/>
        <v>0</v>
      </c>
      <c r="S162" s="472">
        <f t="shared" si="64"/>
        <v>0</v>
      </c>
      <c r="T162" s="472">
        <f t="shared" si="65"/>
        <v>0</v>
      </c>
      <c r="U162" s="182" t="s">
        <v>492</v>
      </c>
      <c r="V162" s="36" t="s">
        <v>87</v>
      </c>
      <c r="W162" s="37" t="s">
        <v>72</v>
      </c>
      <c r="X162" s="37" t="s">
        <v>99</v>
      </c>
      <c r="Y162" s="37" t="s">
        <v>1212</v>
      </c>
      <c r="Z162" s="37" t="s">
        <v>139</v>
      </c>
      <c r="AA162" s="12" t="b">
        <f t="shared" si="67"/>
        <v>1</v>
      </c>
      <c r="AB162" s="12" t="b">
        <f t="shared" si="68"/>
        <v>1</v>
      </c>
      <c r="AC162" s="12" t="b">
        <f t="shared" si="69"/>
        <v>1</v>
      </c>
      <c r="AD162" s="12" t="b">
        <f t="shared" si="70"/>
        <v>1</v>
      </c>
      <c r="AE162" s="12" t="b">
        <f t="shared" si="71"/>
        <v>1</v>
      </c>
      <c r="AF162" s="12" t="b">
        <f t="shared" si="72"/>
        <v>1</v>
      </c>
    </row>
    <row r="163" spans="1:32" s="12" customFormat="1" ht="15.75" customHeight="1">
      <c r="A163" s="285"/>
      <c r="B163" s="182"/>
      <c r="C163" s="36"/>
      <c r="D163" s="37"/>
      <c r="E163" s="37"/>
      <c r="F163" s="37"/>
      <c r="G163" s="37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472">
        <f t="shared" si="63"/>
        <v>0</v>
      </c>
      <c r="S163" s="472">
        <f t="shared" si="64"/>
        <v>0</v>
      </c>
      <c r="T163" s="472">
        <f t="shared" si="65"/>
        <v>0</v>
      </c>
      <c r="U163" s="182"/>
      <c r="V163" s="36"/>
      <c r="W163" s="37"/>
      <c r="X163" s="37"/>
      <c r="Y163" s="37"/>
      <c r="Z163" s="37"/>
      <c r="AA163" s="12" t="b">
        <f t="shared" si="67"/>
        <v>1</v>
      </c>
      <c r="AB163" s="12" t="b">
        <f t="shared" si="68"/>
        <v>1</v>
      </c>
      <c r="AC163" s="12" t="b">
        <f t="shared" si="69"/>
        <v>1</v>
      </c>
      <c r="AD163" s="12" t="b">
        <f t="shared" si="70"/>
        <v>1</v>
      </c>
      <c r="AE163" s="12" t="b">
        <f t="shared" si="71"/>
        <v>1</v>
      </c>
      <c r="AF163" s="12" t="b">
        <f t="shared" si="72"/>
        <v>1</v>
      </c>
    </row>
    <row r="164" spans="1:32" s="38" customFormat="1" ht="15.75" customHeight="1">
      <c r="A164" s="286"/>
      <c r="B164" s="42" t="s">
        <v>93</v>
      </c>
      <c r="C164" s="25" t="s">
        <v>37</v>
      </c>
      <c r="D164" s="26" t="s">
        <v>83</v>
      </c>
      <c r="E164" s="26" t="s">
        <v>83</v>
      </c>
      <c r="F164" s="26" t="s">
        <v>223</v>
      </c>
      <c r="G164" s="26" t="s">
        <v>90</v>
      </c>
      <c r="H164" s="43">
        <f>H165+H192+H199</f>
        <v>362259.98</v>
      </c>
      <c r="I164" s="43">
        <f>I165+I192+I199</f>
        <v>128838.06000000001</v>
      </c>
      <c r="J164" s="43">
        <f>J165+J192+J199</f>
        <v>128441.76000000001</v>
      </c>
      <c r="K164" s="43">
        <v>364145.49</v>
      </c>
      <c r="L164" s="43">
        <v>130500.56000000001</v>
      </c>
      <c r="M164" s="43">
        <v>129194.56</v>
      </c>
      <c r="N164" s="43"/>
      <c r="O164" s="43">
        <v>137519.96000000002</v>
      </c>
      <c r="P164" s="43">
        <v>130500.56000000001</v>
      </c>
      <c r="Q164" s="43">
        <v>129194.56</v>
      </c>
      <c r="R164" s="472">
        <f t="shared" si="63"/>
        <v>224740.01999999996</v>
      </c>
      <c r="S164" s="472">
        <f t="shared" si="64"/>
        <v>-1662.5</v>
      </c>
      <c r="T164" s="472">
        <f t="shared" si="65"/>
        <v>-752.79999999998836</v>
      </c>
      <c r="U164" s="42" t="s">
        <v>93</v>
      </c>
      <c r="V164" s="25" t="s">
        <v>37</v>
      </c>
      <c r="W164" s="26" t="s">
        <v>83</v>
      </c>
      <c r="X164" s="26" t="s">
        <v>83</v>
      </c>
      <c r="Y164" s="26" t="s">
        <v>223</v>
      </c>
      <c r="Z164" s="26" t="s">
        <v>90</v>
      </c>
      <c r="AA164" s="12" t="b">
        <f t="shared" si="67"/>
        <v>1</v>
      </c>
      <c r="AB164" s="12" t="b">
        <f t="shared" si="68"/>
        <v>1</v>
      </c>
      <c r="AC164" s="12" t="b">
        <f t="shared" si="69"/>
        <v>1</v>
      </c>
      <c r="AD164" s="12" t="b">
        <f t="shared" si="70"/>
        <v>1</v>
      </c>
      <c r="AE164" s="12" t="b">
        <f t="shared" si="71"/>
        <v>1</v>
      </c>
      <c r="AF164" s="12" t="b">
        <f t="shared" si="72"/>
        <v>1</v>
      </c>
    </row>
    <row r="165" spans="1:32" s="38" customFormat="1" ht="15.75" customHeight="1">
      <c r="A165" s="286"/>
      <c r="B165" s="28" t="s">
        <v>97</v>
      </c>
      <c r="C165" s="29" t="s">
        <v>37</v>
      </c>
      <c r="D165" s="30" t="s">
        <v>98</v>
      </c>
      <c r="E165" s="30" t="s">
        <v>83</v>
      </c>
      <c r="F165" s="30" t="s">
        <v>223</v>
      </c>
      <c r="G165" s="30" t="s">
        <v>90</v>
      </c>
      <c r="H165" s="31">
        <f>H166</f>
        <v>343272.13</v>
      </c>
      <c r="I165" s="31">
        <f>I166</f>
        <v>105599.48000000001</v>
      </c>
      <c r="J165" s="31">
        <f>J166</f>
        <v>105654.63</v>
      </c>
      <c r="K165" s="31">
        <v>343272.13</v>
      </c>
      <c r="L165" s="31">
        <v>105599.48000000001</v>
      </c>
      <c r="M165" s="31">
        <v>105654.63</v>
      </c>
      <c r="N165" s="31"/>
      <c r="O165" s="31">
        <v>116646.6</v>
      </c>
      <c r="P165" s="31">
        <v>105599.48000000001</v>
      </c>
      <c r="Q165" s="31">
        <v>105654.63</v>
      </c>
      <c r="R165" s="472">
        <f t="shared" si="63"/>
        <v>226625.53</v>
      </c>
      <c r="S165" s="472">
        <f t="shared" si="64"/>
        <v>0</v>
      </c>
      <c r="T165" s="472">
        <f t="shared" si="65"/>
        <v>0</v>
      </c>
      <c r="U165" s="28" t="s">
        <v>97</v>
      </c>
      <c r="V165" s="29" t="s">
        <v>37</v>
      </c>
      <c r="W165" s="30" t="s">
        <v>98</v>
      </c>
      <c r="X165" s="30" t="s">
        <v>83</v>
      </c>
      <c r="Y165" s="30" t="s">
        <v>223</v>
      </c>
      <c r="Z165" s="30" t="s">
        <v>90</v>
      </c>
      <c r="AA165" s="12" t="b">
        <f t="shared" si="67"/>
        <v>1</v>
      </c>
      <c r="AB165" s="12" t="b">
        <f t="shared" si="68"/>
        <v>1</v>
      </c>
      <c r="AC165" s="12" t="b">
        <f t="shared" si="69"/>
        <v>1</v>
      </c>
      <c r="AD165" s="12" t="b">
        <f t="shared" si="70"/>
        <v>1</v>
      </c>
      <c r="AE165" s="12" t="b">
        <f t="shared" si="71"/>
        <v>1</v>
      </c>
      <c r="AF165" s="12" t="b">
        <f t="shared" si="72"/>
        <v>1</v>
      </c>
    </row>
    <row r="166" spans="1:32" s="38" customFormat="1" ht="15.75" customHeight="1">
      <c r="A166" s="286"/>
      <c r="B166" s="32" t="s">
        <v>70</v>
      </c>
      <c r="C166" s="33" t="s">
        <v>37</v>
      </c>
      <c r="D166" s="34" t="s">
        <v>98</v>
      </c>
      <c r="E166" s="34" t="s">
        <v>124</v>
      </c>
      <c r="F166" s="34" t="s">
        <v>223</v>
      </c>
      <c r="G166" s="34" t="s">
        <v>90</v>
      </c>
      <c r="H166" s="35">
        <f>H167+H180+H188</f>
        <v>343272.13</v>
      </c>
      <c r="I166" s="35">
        <f t="shared" ref="I166:J166" si="80">I167+I180</f>
        <v>105599.48000000001</v>
      </c>
      <c r="J166" s="35">
        <f t="shared" si="80"/>
        <v>105654.63</v>
      </c>
      <c r="K166" s="35">
        <v>343272.13</v>
      </c>
      <c r="L166" s="35">
        <v>105599.48000000001</v>
      </c>
      <c r="M166" s="35">
        <v>105654.63</v>
      </c>
      <c r="N166" s="35"/>
      <c r="O166" s="35">
        <v>116646.6</v>
      </c>
      <c r="P166" s="35">
        <v>105599.48000000001</v>
      </c>
      <c r="Q166" s="35">
        <v>105654.63</v>
      </c>
      <c r="R166" s="472">
        <f t="shared" si="63"/>
        <v>226625.53</v>
      </c>
      <c r="S166" s="472">
        <f t="shared" si="64"/>
        <v>0</v>
      </c>
      <c r="T166" s="472">
        <f t="shared" si="65"/>
        <v>0</v>
      </c>
      <c r="U166" s="32" t="s">
        <v>70</v>
      </c>
      <c r="V166" s="33" t="s">
        <v>37</v>
      </c>
      <c r="W166" s="34" t="s">
        <v>98</v>
      </c>
      <c r="X166" s="34" t="s">
        <v>124</v>
      </c>
      <c r="Y166" s="34" t="s">
        <v>223</v>
      </c>
      <c r="Z166" s="34" t="s">
        <v>90</v>
      </c>
      <c r="AA166" s="12" t="b">
        <f t="shared" si="67"/>
        <v>1</v>
      </c>
      <c r="AB166" s="12" t="b">
        <f t="shared" si="68"/>
        <v>1</v>
      </c>
      <c r="AC166" s="12" t="b">
        <f t="shared" si="69"/>
        <v>1</v>
      </c>
      <c r="AD166" s="12" t="b">
        <f t="shared" si="70"/>
        <v>1</v>
      </c>
      <c r="AE166" s="12" t="b">
        <f t="shared" si="71"/>
        <v>1</v>
      </c>
      <c r="AF166" s="12" t="b">
        <f t="shared" si="72"/>
        <v>1</v>
      </c>
    </row>
    <row r="167" spans="1:32" s="38" customFormat="1" ht="15.75" customHeight="1">
      <c r="A167" s="286"/>
      <c r="B167" s="23" t="s">
        <v>662</v>
      </c>
      <c r="C167" s="36" t="s">
        <v>37</v>
      </c>
      <c r="D167" s="37" t="s">
        <v>98</v>
      </c>
      <c r="E167" s="37" t="s">
        <v>124</v>
      </c>
      <c r="F167" s="37" t="s">
        <v>282</v>
      </c>
      <c r="G167" s="37" t="s">
        <v>90</v>
      </c>
      <c r="H167" s="183">
        <f>H168</f>
        <v>18600.22</v>
      </c>
      <c r="I167" s="183">
        <f>I168</f>
        <v>7366.9699999999993</v>
      </c>
      <c r="J167" s="183">
        <f>J168</f>
        <v>7366.9699999999993</v>
      </c>
      <c r="K167" s="183">
        <v>18600.22</v>
      </c>
      <c r="L167" s="183">
        <v>7366.9699999999993</v>
      </c>
      <c r="M167" s="183">
        <v>7366.9699999999993</v>
      </c>
      <c r="N167" s="183"/>
      <c r="O167" s="183">
        <v>18467.11</v>
      </c>
      <c r="P167" s="183">
        <v>7366.9699999999993</v>
      </c>
      <c r="Q167" s="183">
        <v>7366.9699999999993</v>
      </c>
      <c r="R167" s="472">
        <f t="shared" si="63"/>
        <v>133.11000000000058</v>
      </c>
      <c r="S167" s="472">
        <f t="shared" si="64"/>
        <v>0</v>
      </c>
      <c r="T167" s="472">
        <f t="shared" si="65"/>
        <v>0</v>
      </c>
      <c r="U167" s="23" t="s">
        <v>662</v>
      </c>
      <c r="V167" s="36" t="s">
        <v>37</v>
      </c>
      <c r="W167" s="37" t="s">
        <v>98</v>
      </c>
      <c r="X167" s="37" t="s">
        <v>124</v>
      </c>
      <c r="Y167" s="37" t="s">
        <v>282</v>
      </c>
      <c r="Z167" s="37" t="s">
        <v>90</v>
      </c>
      <c r="AA167" s="12" t="b">
        <f t="shared" si="67"/>
        <v>1</v>
      </c>
      <c r="AB167" s="12" t="b">
        <f t="shared" si="68"/>
        <v>1</v>
      </c>
      <c r="AC167" s="12" t="b">
        <f t="shared" si="69"/>
        <v>1</v>
      </c>
      <c r="AD167" s="12" t="b">
        <f t="shared" si="70"/>
        <v>1</v>
      </c>
      <c r="AE167" s="12" t="b">
        <f t="shared" si="71"/>
        <v>1</v>
      </c>
      <c r="AF167" s="12" t="b">
        <f t="shared" si="72"/>
        <v>1</v>
      </c>
    </row>
    <row r="168" spans="1:32" s="38" customFormat="1" ht="15.75" customHeight="1">
      <c r="A168" s="286"/>
      <c r="B168" s="23" t="s">
        <v>663</v>
      </c>
      <c r="C168" s="36" t="s">
        <v>37</v>
      </c>
      <c r="D168" s="37" t="s">
        <v>98</v>
      </c>
      <c r="E168" s="37" t="s">
        <v>124</v>
      </c>
      <c r="F168" s="37" t="s">
        <v>283</v>
      </c>
      <c r="G168" s="37" t="s">
        <v>90</v>
      </c>
      <c r="H168" s="183">
        <f>H173+H169</f>
        <v>18600.22</v>
      </c>
      <c r="I168" s="183">
        <f>I173+I169</f>
        <v>7366.9699999999993</v>
      </c>
      <c r="J168" s="183">
        <f>J173+J169</f>
        <v>7366.9699999999993</v>
      </c>
      <c r="K168" s="183">
        <v>18600.22</v>
      </c>
      <c r="L168" s="183">
        <v>7366.9699999999993</v>
      </c>
      <c r="M168" s="183">
        <v>7366.9699999999993</v>
      </c>
      <c r="N168" s="183"/>
      <c r="O168" s="183">
        <v>18467.11</v>
      </c>
      <c r="P168" s="183">
        <v>7366.9699999999993</v>
      </c>
      <c r="Q168" s="183">
        <v>7366.9699999999993</v>
      </c>
      <c r="R168" s="472">
        <f t="shared" si="63"/>
        <v>133.11000000000058</v>
      </c>
      <c r="S168" s="472">
        <f t="shared" si="64"/>
        <v>0</v>
      </c>
      <c r="T168" s="472">
        <f t="shared" si="65"/>
        <v>0</v>
      </c>
      <c r="U168" s="23" t="s">
        <v>663</v>
      </c>
      <c r="V168" s="36" t="s">
        <v>37</v>
      </c>
      <c r="W168" s="37" t="s">
        <v>98</v>
      </c>
      <c r="X168" s="37" t="s">
        <v>124</v>
      </c>
      <c r="Y168" s="37" t="s">
        <v>283</v>
      </c>
      <c r="Z168" s="37" t="s">
        <v>90</v>
      </c>
      <c r="AA168" s="12" t="b">
        <f t="shared" si="67"/>
        <v>1</v>
      </c>
      <c r="AB168" s="12" t="b">
        <f t="shared" si="68"/>
        <v>1</v>
      </c>
      <c r="AC168" s="12" t="b">
        <f t="shared" si="69"/>
        <v>1</v>
      </c>
      <c r="AD168" s="12" t="b">
        <f t="shared" si="70"/>
        <v>1</v>
      </c>
      <c r="AE168" s="12" t="b">
        <f t="shared" si="71"/>
        <v>1</v>
      </c>
      <c r="AF168" s="12" t="b">
        <f t="shared" si="72"/>
        <v>1</v>
      </c>
    </row>
    <row r="169" spans="1:32" s="38" customFormat="1" ht="15.75" customHeight="1">
      <c r="A169" s="286"/>
      <c r="B169" s="178" t="s">
        <v>738</v>
      </c>
      <c r="C169" s="36" t="s">
        <v>37</v>
      </c>
      <c r="D169" s="37" t="s">
        <v>98</v>
      </c>
      <c r="E169" s="37" t="s">
        <v>124</v>
      </c>
      <c r="F169" s="37" t="s">
        <v>285</v>
      </c>
      <c r="G169" s="37" t="s">
        <v>90</v>
      </c>
      <c r="H169" s="183">
        <f>H170</f>
        <v>1264.3200000000002</v>
      </c>
      <c r="I169" s="183">
        <f>I170</f>
        <v>1264.3200000000002</v>
      </c>
      <c r="J169" s="183">
        <f>J170</f>
        <v>1264.3200000000002</v>
      </c>
      <c r="K169" s="183">
        <v>1264.3200000000002</v>
      </c>
      <c r="L169" s="183">
        <v>1264.3200000000002</v>
      </c>
      <c r="M169" s="183">
        <v>1264.3200000000002</v>
      </c>
      <c r="N169" s="183"/>
      <c r="O169" s="183">
        <v>1264.3200000000002</v>
      </c>
      <c r="P169" s="183">
        <v>1264.3200000000002</v>
      </c>
      <c r="Q169" s="183">
        <v>1264.3200000000002</v>
      </c>
      <c r="R169" s="472">
        <f t="shared" si="63"/>
        <v>0</v>
      </c>
      <c r="S169" s="472">
        <f t="shared" si="64"/>
        <v>0</v>
      </c>
      <c r="T169" s="472">
        <f t="shared" si="65"/>
        <v>0</v>
      </c>
      <c r="U169" s="178" t="s">
        <v>738</v>
      </c>
      <c r="V169" s="36" t="s">
        <v>37</v>
      </c>
      <c r="W169" s="37" t="s">
        <v>98</v>
      </c>
      <c r="X169" s="37" t="s">
        <v>124</v>
      </c>
      <c r="Y169" s="37" t="s">
        <v>285</v>
      </c>
      <c r="Z169" s="37" t="s">
        <v>90</v>
      </c>
      <c r="AA169" s="12" t="b">
        <f t="shared" si="67"/>
        <v>1</v>
      </c>
      <c r="AB169" s="12" t="b">
        <f t="shared" si="68"/>
        <v>1</v>
      </c>
      <c r="AC169" s="12" t="b">
        <f t="shared" si="69"/>
        <v>1</v>
      </c>
      <c r="AD169" s="12" t="b">
        <f t="shared" si="70"/>
        <v>1</v>
      </c>
      <c r="AE169" s="12" t="b">
        <f t="shared" si="71"/>
        <v>1</v>
      </c>
      <c r="AF169" s="12" t="b">
        <f t="shared" si="72"/>
        <v>1</v>
      </c>
    </row>
    <row r="170" spans="1:32" s="38" customFormat="1" ht="15.75" customHeight="1">
      <c r="A170" s="286"/>
      <c r="B170" s="182" t="s">
        <v>195</v>
      </c>
      <c r="C170" s="36" t="s">
        <v>37</v>
      </c>
      <c r="D170" s="37" t="s">
        <v>98</v>
      </c>
      <c r="E170" s="37" t="s">
        <v>124</v>
      </c>
      <c r="F170" s="37" t="s">
        <v>952</v>
      </c>
      <c r="G170" s="37" t="s">
        <v>90</v>
      </c>
      <c r="H170" s="183">
        <f>H171+H172</f>
        <v>1264.3200000000002</v>
      </c>
      <c r="I170" s="183">
        <f>I171+I172</f>
        <v>1264.3200000000002</v>
      </c>
      <c r="J170" s="183">
        <f>J171+J172</f>
        <v>1264.3200000000002</v>
      </c>
      <c r="K170" s="183">
        <v>1264.3200000000002</v>
      </c>
      <c r="L170" s="183">
        <v>1264.3200000000002</v>
      </c>
      <c r="M170" s="183">
        <v>1264.3200000000002</v>
      </c>
      <c r="N170" s="183"/>
      <c r="O170" s="183">
        <v>1264.3200000000002</v>
      </c>
      <c r="P170" s="183">
        <v>1264.3200000000002</v>
      </c>
      <c r="Q170" s="183">
        <v>1264.3200000000002</v>
      </c>
      <c r="R170" s="472">
        <f t="shared" si="63"/>
        <v>0</v>
      </c>
      <c r="S170" s="472">
        <f t="shared" si="64"/>
        <v>0</v>
      </c>
      <c r="T170" s="472">
        <f t="shared" si="65"/>
        <v>0</v>
      </c>
      <c r="U170" s="182" t="s">
        <v>195</v>
      </c>
      <c r="V170" s="36" t="s">
        <v>37</v>
      </c>
      <c r="W170" s="37" t="s">
        <v>98</v>
      </c>
      <c r="X170" s="37" t="s">
        <v>124</v>
      </c>
      <c r="Y170" s="37" t="s">
        <v>952</v>
      </c>
      <c r="Z170" s="37" t="s">
        <v>90</v>
      </c>
      <c r="AA170" s="12" t="b">
        <f t="shared" si="67"/>
        <v>1</v>
      </c>
      <c r="AB170" s="12" t="b">
        <f t="shared" si="68"/>
        <v>1</v>
      </c>
      <c r="AC170" s="12" t="b">
        <f t="shared" si="69"/>
        <v>1</v>
      </c>
      <c r="AD170" s="12" t="b">
        <f t="shared" si="70"/>
        <v>1</v>
      </c>
      <c r="AE170" s="12" t="b">
        <f t="shared" si="71"/>
        <v>1</v>
      </c>
      <c r="AF170" s="12" t="b">
        <f t="shared" si="72"/>
        <v>1</v>
      </c>
    </row>
    <row r="171" spans="1:32" s="38" customFormat="1" ht="15.75" customHeight="1">
      <c r="A171" s="286"/>
      <c r="B171" s="182" t="s">
        <v>145</v>
      </c>
      <c r="C171" s="36" t="s">
        <v>37</v>
      </c>
      <c r="D171" s="37" t="s">
        <v>98</v>
      </c>
      <c r="E171" s="37" t="s">
        <v>124</v>
      </c>
      <c r="F171" s="37" t="s">
        <v>952</v>
      </c>
      <c r="G171" s="37" t="s">
        <v>153</v>
      </c>
      <c r="H171" s="183">
        <f>539.32+320</f>
        <v>859.32</v>
      </c>
      <c r="I171" s="183">
        <f t="shared" ref="I171:J171" si="81">539.32+320</f>
        <v>859.32</v>
      </c>
      <c r="J171" s="183">
        <f t="shared" si="81"/>
        <v>859.32</v>
      </c>
      <c r="K171" s="183">
        <v>859.32</v>
      </c>
      <c r="L171" s="183">
        <v>859.32</v>
      </c>
      <c r="M171" s="183">
        <v>859.32</v>
      </c>
      <c r="N171" s="183"/>
      <c r="O171" s="183">
        <v>859.32</v>
      </c>
      <c r="P171" s="183">
        <v>859.32</v>
      </c>
      <c r="Q171" s="183">
        <v>859.32</v>
      </c>
      <c r="R171" s="472">
        <f t="shared" si="63"/>
        <v>0</v>
      </c>
      <c r="S171" s="472">
        <f t="shared" si="64"/>
        <v>0</v>
      </c>
      <c r="T171" s="472">
        <f t="shared" si="65"/>
        <v>0</v>
      </c>
      <c r="U171" s="182" t="s">
        <v>145</v>
      </c>
      <c r="V171" s="36" t="s">
        <v>37</v>
      </c>
      <c r="W171" s="37" t="s">
        <v>98</v>
      </c>
      <c r="X171" s="37" t="s">
        <v>124</v>
      </c>
      <c r="Y171" s="37" t="s">
        <v>952</v>
      </c>
      <c r="Z171" s="37" t="s">
        <v>153</v>
      </c>
      <c r="AA171" s="12" t="b">
        <f t="shared" si="67"/>
        <v>1</v>
      </c>
      <c r="AB171" s="12" t="b">
        <f t="shared" si="68"/>
        <v>1</v>
      </c>
      <c r="AC171" s="12" t="b">
        <f t="shared" si="69"/>
        <v>1</v>
      </c>
      <c r="AD171" s="12" t="b">
        <f t="shared" si="70"/>
        <v>1</v>
      </c>
      <c r="AE171" s="12" t="b">
        <f t="shared" si="71"/>
        <v>1</v>
      </c>
      <c r="AF171" s="12" t="b">
        <f t="shared" si="72"/>
        <v>1</v>
      </c>
    </row>
    <row r="172" spans="1:32" s="38" customFormat="1" ht="15.75" customHeight="1">
      <c r="A172" s="286"/>
      <c r="B172" s="182" t="s">
        <v>136</v>
      </c>
      <c r="C172" s="36" t="s">
        <v>37</v>
      </c>
      <c r="D172" s="37" t="s">
        <v>98</v>
      </c>
      <c r="E172" s="37" t="s">
        <v>124</v>
      </c>
      <c r="F172" s="37" t="s">
        <v>952</v>
      </c>
      <c r="G172" s="37" t="s">
        <v>166</v>
      </c>
      <c r="H172" s="183">
        <v>405</v>
      </c>
      <c r="I172" s="183">
        <v>405</v>
      </c>
      <c r="J172" s="183">
        <v>405</v>
      </c>
      <c r="K172" s="183">
        <v>405</v>
      </c>
      <c r="L172" s="183">
        <v>405</v>
      </c>
      <c r="M172" s="183">
        <v>405</v>
      </c>
      <c r="N172" s="183"/>
      <c r="O172" s="183">
        <v>405</v>
      </c>
      <c r="P172" s="183">
        <v>405</v>
      </c>
      <c r="Q172" s="183">
        <v>405</v>
      </c>
      <c r="R172" s="472">
        <f t="shared" si="63"/>
        <v>0</v>
      </c>
      <c r="S172" s="472">
        <f t="shared" si="64"/>
        <v>0</v>
      </c>
      <c r="T172" s="472">
        <f t="shared" si="65"/>
        <v>0</v>
      </c>
      <c r="U172" s="182" t="s">
        <v>136</v>
      </c>
      <c r="V172" s="36" t="s">
        <v>37</v>
      </c>
      <c r="W172" s="37" t="s">
        <v>98</v>
      </c>
      <c r="X172" s="37" t="s">
        <v>124</v>
      </c>
      <c r="Y172" s="37" t="s">
        <v>952</v>
      </c>
      <c r="Z172" s="37" t="s">
        <v>166</v>
      </c>
      <c r="AA172" s="12" t="b">
        <f t="shared" si="67"/>
        <v>1</v>
      </c>
      <c r="AB172" s="12" t="b">
        <f t="shared" si="68"/>
        <v>1</v>
      </c>
      <c r="AC172" s="12" t="b">
        <f t="shared" si="69"/>
        <v>1</v>
      </c>
      <c r="AD172" s="12" t="b">
        <f t="shared" si="70"/>
        <v>1</v>
      </c>
      <c r="AE172" s="12" t="b">
        <f t="shared" si="71"/>
        <v>1</v>
      </c>
      <c r="AF172" s="12" t="b">
        <f t="shared" si="72"/>
        <v>1</v>
      </c>
    </row>
    <row r="173" spans="1:32" s="38" customFormat="1" ht="15.75" customHeight="1">
      <c r="A173" s="286"/>
      <c r="B173" s="182" t="s">
        <v>284</v>
      </c>
      <c r="C173" s="36" t="s">
        <v>37</v>
      </c>
      <c r="D173" s="37" t="s">
        <v>98</v>
      </c>
      <c r="E173" s="37" t="s">
        <v>124</v>
      </c>
      <c r="F173" s="37" t="s">
        <v>287</v>
      </c>
      <c r="G173" s="37" t="s">
        <v>90</v>
      </c>
      <c r="H173" s="183">
        <f>H174+H176+H178</f>
        <v>17335.900000000001</v>
      </c>
      <c r="I173" s="183">
        <f>I174+I176+I178</f>
        <v>6102.65</v>
      </c>
      <c r="J173" s="183">
        <f>J174+J176+J178</f>
        <v>6102.65</v>
      </c>
      <c r="K173" s="183">
        <v>17335.900000000001</v>
      </c>
      <c r="L173" s="183">
        <v>6102.65</v>
      </c>
      <c r="M173" s="183">
        <v>6102.65</v>
      </c>
      <c r="N173" s="183"/>
      <c r="O173" s="183">
        <v>17202.79</v>
      </c>
      <c r="P173" s="183">
        <v>6102.65</v>
      </c>
      <c r="Q173" s="183">
        <v>6102.65</v>
      </c>
      <c r="R173" s="472">
        <f t="shared" si="63"/>
        <v>133.11000000000058</v>
      </c>
      <c r="S173" s="472">
        <f t="shared" si="64"/>
        <v>0</v>
      </c>
      <c r="T173" s="472">
        <f t="shared" si="65"/>
        <v>0</v>
      </c>
      <c r="U173" s="182" t="s">
        <v>284</v>
      </c>
      <c r="V173" s="36" t="s">
        <v>37</v>
      </c>
      <c r="W173" s="37" t="s">
        <v>98</v>
      </c>
      <c r="X173" s="37" t="s">
        <v>124</v>
      </c>
      <c r="Y173" s="37" t="s">
        <v>287</v>
      </c>
      <c r="Z173" s="37" t="s">
        <v>90</v>
      </c>
      <c r="AA173" s="12" t="b">
        <f t="shared" si="67"/>
        <v>1</v>
      </c>
      <c r="AB173" s="12" t="b">
        <f t="shared" si="68"/>
        <v>1</v>
      </c>
      <c r="AC173" s="12" t="b">
        <f t="shared" si="69"/>
        <v>1</v>
      </c>
      <c r="AD173" s="12" t="b">
        <f t="shared" si="70"/>
        <v>1</v>
      </c>
      <c r="AE173" s="12" t="b">
        <f t="shared" si="71"/>
        <v>1</v>
      </c>
      <c r="AF173" s="12" t="b">
        <f t="shared" si="72"/>
        <v>1</v>
      </c>
    </row>
    <row r="174" spans="1:32" s="38" customFormat="1" ht="15.75" customHeight="1">
      <c r="A174" s="286"/>
      <c r="B174" s="182" t="s">
        <v>192</v>
      </c>
      <c r="C174" s="36" t="s">
        <v>37</v>
      </c>
      <c r="D174" s="37" t="s">
        <v>98</v>
      </c>
      <c r="E174" s="37" t="s">
        <v>124</v>
      </c>
      <c r="F174" s="37" t="s">
        <v>953</v>
      </c>
      <c r="G174" s="37" t="s">
        <v>90</v>
      </c>
      <c r="H174" s="183">
        <f>SUM(H175:H175)</f>
        <v>1269.77</v>
      </c>
      <c r="I174" s="183">
        <f>SUM(I175:I175)</f>
        <v>1269.77</v>
      </c>
      <c r="J174" s="183">
        <f>SUM(J175:J175)</f>
        <v>1269.77</v>
      </c>
      <c r="K174" s="183">
        <v>1269.77</v>
      </c>
      <c r="L174" s="183">
        <v>1269.77</v>
      </c>
      <c r="M174" s="183">
        <v>1269.77</v>
      </c>
      <c r="N174" s="183"/>
      <c r="O174" s="183">
        <v>1269.77</v>
      </c>
      <c r="P174" s="183">
        <v>1269.77</v>
      </c>
      <c r="Q174" s="183">
        <v>1269.77</v>
      </c>
      <c r="R174" s="472">
        <f t="shared" si="63"/>
        <v>0</v>
      </c>
      <c r="S174" s="472">
        <f t="shared" si="64"/>
        <v>0</v>
      </c>
      <c r="T174" s="472">
        <f t="shared" si="65"/>
        <v>0</v>
      </c>
      <c r="U174" s="182" t="s">
        <v>192</v>
      </c>
      <c r="V174" s="36" t="s">
        <v>37</v>
      </c>
      <c r="W174" s="37" t="s">
        <v>98</v>
      </c>
      <c r="X174" s="37" t="s">
        <v>124</v>
      </c>
      <c r="Y174" s="37" t="s">
        <v>953</v>
      </c>
      <c r="Z174" s="37" t="s">
        <v>90</v>
      </c>
      <c r="AA174" s="12" t="b">
        <f t="shared" si="67"/>
        <v>1</v>
      </c>
      <c r="AB174" s="12" t="b">
        <f t="shared" si="68"/>
        <v>1</v>
      </c>
      <c r="AC174" s="12" t="b">
        <f t="shared" si="69"/>
        <v>1</v>
      </c>
      <c r="AD174" s="12" t="b">
        <f t="shared" si="70"/>
        <v>1</v>
      </c>
      <c r="AE174" s="12" t="b">
        <f t="shared" si="71"/>
        <v>1</v>
      </c>
      <c r="AF174" s="12" t="b">
        <f t="shared" si="72"/>
        <v>1</v>
      </c>
    </row>
    <row r="175" spans="1:32" s="38" customFormat="1" ht="15.75" customHeight="1">
      <c r="A175" s="286"/>
      <c r="B175" s="54" t="s">
        <v>145</v>
      </c>
      <c r="C175" s="56" t="s">
        <v>37</v>
      </c>
      <c r="D175" s="57" t="s">
        <v>98</v>
      </c>
      <c r="E175" s="57" t="s">
        <v>124</v>
      </c>
      <c r="F175" s="57" t="s">
        <v>953</v>
      </c>
      <c r="G175" s="57" t="s">
        <v>153</v>
      </c>
      <c r="H175" s="58">
        <v>1269.77</v>
      </c>
      <c r="I175" s="58">
        <v>1269.77</v>
      </c>
      <c r="J175" s="58">
        <v>1269.77</v>
      </c>
      <c r="K175" s="58">
        <v>1269.77</v>
      </c>
      <c r="L175" s="58">
        <v>1269.77</v>
      </c>
      <c r="M175" s="58">
        <v>1269.77</v>
      </c>
      <c r="N175" s="58"/>
      <c r="O175" s="58">
        <v>1269.77</v>
      </c>
      <c r="P175" s="58">
        <v>1269.77</v>
      </c>
      <c r="Q175" s="58">
        <v>1269.77</v>
      </c>
      <c r="R175" s="472">
        <f t="shared" si="63"/>
        <v>0</v>
      </c>
      <c r="S175" s="472">
        <f t="shared" si="64"/>
        <v>0</v>
      </c>
      <c r="T175" s="472">
        <f t="shared" si="65"/>
        <v>0</v>
      </c>
      <c r="U175" s="54" t="s">
        <v>145</v>
      </c>
      <c r="V175" s="56" t="s">
        <v>37</v>
      </c>
      <c r="W175" s="57" t="s">
        <v>98</v>
      </c>
      <c r="X175" s="57" t="s">
        <v>124</v>
      </c>
      <c r="Y175" s="57" t="s">
        <v>953</v>
      </c>
      <c r="Z175" s="57" t="s">
        <v>153</v>
      </c>
      <c r="AA175" s="12" t="b">
        <f t="shared" si="67"/>
        <v>1</v>
      </c>
      <c r="AB175" s="12" t="b">
        <f t="shared" si="68"/>
        <v>1</v>
      </c>
      <c r="AC175" s="12" t="b">
        <f t="shared" si="69"/>
        <v>1</v>
      </c>
      <c r="AD175" s="12" t="b">
        <f t="shared" si="70"/>
        <v>1</v>
      </c>
      <c r="AE175" s="12" t="b">
        <f t="shared" si="71"/>
        <v>1</v>
      </c>
      <c r="AF175" s="12" t="b">
        <f t="shared" si="72"/>
        <v>1</v>
      </c>
    </row>
    <row r="176" spans="1:32" s="38" customFormat="1" ht="15.75" customHeight="1">
      <c r="A176" s="286"/>
      <c r="B176" s="182" t="s">
        <v>193</v>
      </c>
      <c r="C176" s="36" t="s">
        <v>37</v>
      </c>
      <c r="D176" s="37" t="s">
        <v>98</v>
      </c>
      <c r="E176" s="37" t="s">
        <v>124</v>
      </c>
      <c r="F176" s="37" t="s">
        <v>954</v>
      </c>
      <c r="G176" s="37" t="s">
        <v>90</v>
      </c>
      <c r="H176" s="183">
        <f>H177</f>
        <v>12937.17</v>
      </c>
      <c r="I176" s="183">
        <f>I177</f>
        <v>1703.92</v>
      </c>
      <c r="J176" s="183">
        <f>J177</f>
        <v>1703.92</v>
      </c>
      <c r="K176" s="183">
        <v>12937.17</v>
      </c>
      <c r="L176" s="183">
        <v>1703.92</v>
      </c>
      <c r="M176" s="183">
        <v>1703.92</v>
      </c>
      <c r="N176" s="183"/>
      <c r="O176" s="183">
        <v>12804.06</v>
      </c>
      <c r="P176" s="183">
        <v>1703.92</v>
      </c>
      <c r="Q176" s="183">
        <v>1703.92</v>
      </c>
      <c r="R176" s="472">
        <f t="shared" si="63"/>
        <v>133.11000000000058</v>
      </c>
      <c r="S176" s="472">
        <f t="shared" si="64"/>
        <v>0</v>
      </c>
      <c r="T176" s="472">
        <f t="shared" si="65"/>
        <v>0</v>
      </c>
      <c r="U176" s="182" t="s">
        <v>193</v>
      </c>
      <c r="V176" s="36" t="s">
        <v>37</v>
      </c>
      <c r="W176" s="37" t="s">
        <v>98</v>
      </c>
      <c r="X176" s="37" t="s">
        <v>124</v>
      </c>
      <c r="Y176" s="37" t="s">
        <v>954</v>
      </c>
      <c r="Z176" s="37" t="s">
        <v>90</v>
      </c>
      <c r="AA176" s="12" t="b">
        <f t="shared" si="67"/>
        <v>1</v>
      </c>
      <c r="AB176" s="12" t="b">
        <f t="shared" si="68"/>
        <v>1</v>
      </c>
      <c r="AC176" s="12" t="b">
        <f t="shared" si="69"/>
        <v>1</v>
      </c>
      <c r="AD176" s="12" t="b">
        <f t="shared" si="70"/>
        <v>1</v>
      </c>
      <c r="AE176" s="12" t="b">
        <f t="shared" si="71"/>
        <v>1</v>
      </c>
      <c r="AF176" s="12" t="b">
        <f t="shared" si="72"/>
        <v>1</v>
      </c>
    </row>
    <row r="177" spans="1:32" s="38" customFormat="1" ht="15.75" customHeight="1">
      <c r="A177" s="286"/>
      <c r="B177" s="182" t="s">
        <v>145</v>
      </c>
      <c r="C177" s="36" t="s">
        <v>37</v>
      </c>
      <c r="D177" s="37" t="s">
        <v>98</v>
      </c>
      <c r="E177" s="37" t="s">
        <v>124</v>
      </c>
      <c r="F177" s="37" t="s">
        <v>954</v>
      </c>
      <c r="G177" s="37" t="s">
        <v>153</v>
      </c>
      <c r="H177" s="183">
        <f>1703.92+13294.41-2194.27+133.11</f>
        <v>12937.17</v>
      </c>
      <c r="I177" s="183">
        <v>1703.92</v>
      </c>
      <c r="J177" s="183">
        <v>1703.92</v>
      </c>
      <c r="K177" s="183">
        <v>12937.17</v>
      </c>
      <c r="L177" s="183">
        <v>1703.92</v>
      </c>
      <c r="M177" s="183">
        <v>1703.92</v>
      </c>
      <c r="N177" s="183"/>
      <c r="O177" s="183">
        <v>12804.06</v>
      </c>
      <c r="P177" s="183">
        <v>1703.92</v>
      </c>
      <c r="Q177" s="183">
        <v>1703.92</v>
      </c>
      <c r="R177" s="472">
        <f t="shared" si="63"/>
        <v>133.11000000000058</v>
      </c>
      <c r="S177" s="472">
        <f t="shared" si="64"/>
        <v>0</v>
      </c>
      <c r="T177" s="472">
        <f t="shared" si="65"/>
        <v>0</v>
      </c>
      <c r="U177" s="182" t="s">
        <v>145</v>
      </c>
      <c r="V177" s="36" t="s">
        <v>37</v>
      </c>
      <c r="W177" s="37" t="s">
        <v>98</v>
      </c>
      <c r="X177" s="37" t="s">
        <v>124</v>
      </c>
      <c r="Y177" s="37" t="s">
        <v>954</v>
      </c>
      <c r="Z177" s="37" t="s">
        <v>153</v>
      </c>
      <c r="AA177" s="12" t="b">
        <f t="shared" si="67"/>
        <v>1</v>
      </c>
      <c r="AB177" s="12" t="b">
        <f t="shared" si="68"/>
        <v>1</v>
      </c>
      <c r="AC177" s="12" t="b">
        <f t="shared" si="69"/>
        <v>1</v>
      </c>
      <c r="AD177" s="12" t="b">
        <f t="shared" si="70"/>
        <v>1</v>
      </c>
      <c r="AE177" s="12" t="b">
        <f t="shared" si="71"/>
        <v>1</v>
      </c>
      <c r="AF177" s="12" t="b">
        <f t="shared" si="72"/>
        <v>1</v>
      </c>
    </row>
    <row r="178" spans="1:32" s="38" customFormat="1" ht="15.75" customHeight="1">
      <c r="A178" s="286"/>
      <c r="B178" s="182" t="s">
        <v>739</v>
      </c>
      <c r="C178" s="36" t="s">
        <v>37</v>
      </c>
      <c r="D178" s="37" t="s">
        <v>98</v>
      </c>
      <c r="E178" s="37" t="s">
        <v>124</v>
      </c>
      <c r="F178" s="37" t="s">
        <v>955</v>
      </c>
      <c r="G178" s="37" t="s">
        <v>90</v>
      </c>
      <c r="H178" s="183">
        <f>H179</f>
        <v>3128.96</v>
      </c>
      <c r="I178" s="183">
        <f>I179</f>
        <v>3128.96</v>
      </c>
      <c r="J178" s="183">
        <f>J179</f>
        <v>3128.96</v>
      </c>
      <c r="K178" s="183">
        <v>3128.96</v>
      </c>
      <c r="L178" s="183">
        <v>3128.96</v>
      </c>
      <c r="M178" s="183">
        <v>3128.96</v>
      </c>
      <c r="N178" s="183"/>
      <c r="O178" s="183">
        <v>3128.96</v>
      </c>
      <c r="P178" s="183">
        <v>3128.96</v>
      </c>
      <c r="Q178" s="183">
        <v>3128.96</v>
      </c>
      <c r="R178" s="472">
        <f t="shared" si="63"/>
        <v>0</v>
      </c>
      <c r="S178" s="472">
        <f t="shared" si="64"/>
        <v>0</v>
      </c>
      <c r="T178" s="472">
        <f t="shared" si="65"/>
        <v>0</v>
      </c>
      <c r="U178" s="182" t="s">
        <v>739</v>
      </c>
      <c r="V178" s="36" t="s">
        <v>37</v>
      </c>
      <c r="W178" s="37" t="s">
        <v>98</v>
      </c>
      <c r="X178" s="37" t="s">
        <v>124</v>
      </c>
      <c r="Y178" s="37" t="s">
        <v>955</v>
      </c>
      <c r="Z178" s="37" t="s">
        <v>90</v>
      </c>
      <c r="AA178" s="12" t="b">
        <f t="shared" si="67"/>
        <v>1</v>
      </c>
      <c r="AB178" s="12" t="b">
        <f t="shared" si="68"/>
        <v>1</v>
      </c>
      <c r="AC178" s="12" t="b">
        <f t="shared" si="69"/>
        <v>1</v>
      </c>
      <c r="AD178" s="12" t="b">
        <f t="shared" si="70"/>
        <v>1</v>
      </c>
      <c r="AE178" s="12" t="b">
        <f t="shared" si="71"/>
        <v>1</v>
      </c>
      <c r="AF178" s="12" t="b">
        <f t="shared" si="72"/>
        <v>1</v>
      </c>
    </row>
    <row r="179" spans="1:32" s="38" customFormat="1" ht="15.75" customHeight="1">
      <c r="A179" s="286"/>
      <c r="B179" s="182" t="s">
        <v>145</v>
      </c>
      <c r="C179" s="36" t="s">
        <v>37</v>
      </c>
      <c r="D179" s="37" t="s">
        <v>98</v>
      </c>
      <c r="E179" s="37" t="s">
        <v>124</v>
      </c>
      <c r="F179" s="37" t="s">
        <v>955</v>
      </c>
      <c r="G179" s="37" t="s">
        <v>153</v>
      </c>
      <c r="H179" s="183">
        <f>2161.77+967.19</f>
        <v>3128.96</v>
      </c>
      <c r="I179" s="183">
        <f t="shared" ref="I179:J179" si="82">2161.77+967.19</f>
        <v>3128.96</v>
      </c>
      <c r="J179" s="183">
        <f t="shared" si="82"/>
        <v>3128.96</v>
      </c>
      <c r="K179" s="183">
        <v>3128.96</v>
      </c>
      <c r="L179" s="183">
        <v>3128.96</v>
      </c>
      <c r="M179" s="183">
        <v>3128.96</v>
      </c>
      <c r="N179" s="183"/>
      <c r="O179" s="183">
        <v>3128.96</v>
      </c>
      <c r="P179" s="183">
        <v>3128.96</v>
      </c>
      <c r="Q179" s="183">
        <v>3128.96</v>
      </c>
      <c r="R179" s="472">
        <f t="shared" si="63"/>
        <v>0</v>
      </c>
      <c r="S179" s="472">
        <f t="shared" si="64"/>
        <v>0</v>
      </c>
      <c r="T179" s="472">
        <f t="shared" si="65"/>
        <v>0</v>
      </c>
      <c r="U179" s="182" t="s">
        <v>145</v>
      </c>
      <c r="V179" s="36" t="s">
        <v>37</v>
      </c>
      <c r="W179" s="37" t="s">
        <v>98</v>
      </c>
      <c r="X179" s="37" t="s">
        <v>124</v>
      </c>
      <c r="Y179" s="37" t="s">
        <v>955</v>
      </c>
      <c r="Z179" s="37" t="s">
        <v>153</v>
      </c>
      <c r="AA179" s="12" t="b">
        <f t="shared" si="67"/>
        <v>1</v>
      </c>
      <c r="AB179" s="12" t="b">
        <f t="shared" si="68"/>
        <v>1</v>
      </c>
      <c r="AC179" s="12" t="b">
        <f t="shared" si="69"/>
        <v>1</v>
      </c>
      <c r="AD179" s="12" t="b">
        <f t="shared" si="70"/>
        <v>1</v>
      </c>
      <c r="AE179" s="12" t="b">
        <f t="shared" si="71"/>
        <v>1</v>
      </c>
      <c r="AF179" s="12" t="b">
        <f t="shared" si="72"/>
        <v>1</v>
      </c>
    </row>
    <row r="180" spans="1:32" s="38" customFormat="1" ht="15.75" customHeight="1">
      <c r="A180" s="286"/>
      <c r="B180" s="182" t="s">
        <v>511</v>
      </c>
      <c r="C180" s="36" t="s">
        <v>37</v>
      </c>
      <c r="D180" s="37" t="s">
        <v>98</v>
      </c>
      <c r="E180" s="37" t="s">
        <v>124</v>
      </c>
      <c r="F180" s="37" t="s">
        <v>289</v>
      </c>
      <c r="G180" s="37" t="s">
        <v>90</v>
      </c>
      <c r="H180" s="183">
        <f>H181</f>
        <v>98179.49</v>
      </c>
      <c r="I180" s="183">
        <f>I181</f>
        <v>98232.510000000009</v>
      </c>
      <c r="J180" s="183">
        <f>J181</f>
        <v>98287.66</v>
      </c>
      <c r="K180" s="183">
        <v>98179.49</v>
      </c>
      <c r="L180" s="183">
        <v>98232.510000000009</v>
      </c>
      <c r="M180" s="183">
        <v>98287.66</v>
      </c>
      <c r="N180" s="183"/>
      <c r="O180" s="183">
        <v>98179.49</v>
      </c>
      <c r="P180" s="183">
        <v>98232.510000000009</v>
      </c>
      <c r="Q180" s="183">
        <v>98287.66</v>
      </c>
      <c r="R180" s="472">
        <f t="shared" si="63"/>
        <v>0</v>
      </c>
      <c r="S180" s="472">
        <f t="shared" si="64"/>
        <v>0</v>
      </c>
      <c r="T180" s="472">
        <f t="shared" si="65"/>
        <v>0</v>
      </c>
      <c r="U180" s="182" t="s">
        <v>511</v>
      </c>
      <c r="V180" s="36" t="s">
        <v>37</v>
      </c>
      <c r="W180" s="37" t="s">
        <v>98</v>
      </c>
      <c r="X180" s="37" t="s">
        <v>124</v>
      </c>
      <c r="Y180" s="37" t="s">
        <v>289</v>
      </c>
      <c r="Z180" s="37" t="s">
        <v>90</v>
      </c>
      <c r="AA180" s="12" t="b">
        <f t="shared" si="67"/>
        <v>1</v>
      </c>
      <c r="AB180" s="12" t="b">
        <f t="shared" si="68"/>
        <v>1</v>
      </c>
      <c r="AC180" s="12" t="b">
        <f t="shared" si="69"/>
        <v>1</v>
      </c>
      <c r="AD180" s="12" t="b">
        <f t="shared" si="70"/>
        <v>1</v>
      </c>
      <c r="AE180" s="12" t="b">
        <f t="shared" si="71"/>
        <v>1</v>
      </c>
      <c r="AF180" s="12" t="b">
        <f t="shared" si="72"/>
        <v>1</v>
      </c>
    </row>
    <row r="181" spans="1:32" s="38" customFormat="1" ht="15.75" customHeight="1">
      <c r="A181" s="286"/>
      <c r="B181" s="182" t="s">
        <v>512</v>
      </c>
      <c r="C181" s="36" t="s">
        <v>37</v>
      </c>
      <c r="D181" s="37" t="s">
        <v>98</v>
      </c>
      <c r="E181" s="37" t="s">
        <v>124</v>
      </c>
      <c r="F181" s="37" t="s">
        <v>290</v>
      </c>
      <c r="G181" s="37" t="s">
        <v>90</v>
      </c>
      <c r="H181" s="183">
        <f>H186+H182</f>
        <v>98179.49</v>
      </c>
      <c r="I181" s="183">
        <f t="shared" ref="I181:J181" si="83">I186+I182</f>
        <v>98232.510000000009</v>
      </c>
      <c r="J181" s="183">
        <f t="shared" si="83"/>
        <v>98287.66</v>
      </c>
      <c r="K181" s="183">
        <v>98179.49</v>
      </c>
      <c r="L181" s="183">
        <v>98232.510000000009</v>
      </c>
      <c r="M181" s="183">
        <v>98287.66</v>
      </c>
      <c r="N181" s="183"/>
      <c r="O181" s="183">
        <v>98179.49</v>
      </c>
      <c r="P181" s="183">
        <v>98232.510000000009</v>
      </c>
      <c r="Q181" s="183">
        <v>98287.66</v>
      </c>
      <c r="R181" s="472">
        <f t="shared" si="63"/>
        <v>0</v>
      </c>
      <c r="S181" s="472">
        <f t="shared" si="64"/>
        <v>0</v>
      </c>
      <c r="T181" s="472">
        <f t="shared" si="65"/>
        <v>0</v>
      </c>
      <c r="U181" s="182" t="s">
        <v>512</v>
      </c>
      <c r="V181" s="36" t="s">
        <v>37</v>
      </c>
      <c r="W181" s="37" t="s">
        <v>98</v>
      </c>
      <c r="X181" s="37" t="s">
        <v>124</v>
      </c>
      <c r="Y181" s="37" t="s">
        <v>290</v>
      </c>
      <c r="Z181" s="37" t="s">
        <v>90</v>
      </c>
      <c r="AA181" s="12" t="b">
        <f t="shared" si="67"/>
        <v>1</v>
      </c>
      <c r="AB181" s="12" t="b">
        <f t="shared" si="68"/>
        <v>1</v>
      </c>
      <c r="AC181" s="12" t="b">
        <f t="shared" si="69"/>
        <v>1</v>
      </c>
      <c r="AD181" s="12" t="b">
        <f t="shared" si="70"/>
        <v>1</v>
      </c>
      <c r="AE181" s="12" t="b">
        <f t="shared" si="71"/>
        <v>1</v>
      </c>
      <c r="AF181" s="12" t="b">
        <f t="shared" si="72"/>
        <v>1</v>
      </c>
    </row>
    <row r="182" spans="1:32" s="38" customFormat="1" ht="15.75" customHeight="1">
      <c r="A182" s="286"/>
      <c r="B182" s="182" t="s">
        <v>151</v>
      </c>
      <c r="C182" s="36" t="s">
        <v>37</v>
      </c>
      <c r="D182" s="37" t="s">
        <v>98</v>
      </c>
      <c r="E182" s="37" t="s">
        <v>124</v>
      </c>
      <c r="F182" s="37" t="s">
        <v>291</v>
      </c>
      <c r="G182" s="37" t="s">
        <v>90</v>
      </c>
      <c r="H182" s="183">
        <f>SUM(H183:H185)</f>
        <v>12710.050000000001</v>
      </c>
      <c r="I182" s="183">
        <f>SUM(I183:I185)</f>
        <v>12763.070000000002</v>
      </c>
      <c r="J182" s="183">
        <f>SUM(J183:J185)</f>
        <v>12818.220000000001</v>
      </c>
      <c r="K182" s="183">
        <v>12710.050000000001</v>
      </c>
      <c r="L182" s="183">
        <v>12763.070000000002</v>
      </c>
      <c r="M182" s="183">
        <v>12818.220000000001</v>
      </c>
      <c r="N182" s="183"/>
      <c r="O182" s="183">
        <v>12710.050000000001</v>
      </c>
      <c r="P182" s="183">
        <v>12763.070000000002</v>
      </c>
      <c r="Q182" s="183">
        <v>12818.220000000001</v>
      </c>
      <c r="R182" s="472">
        <f t="shared" si="63"/>
        <v>0</v>
      </c>
      <c r="S182" s="472">
        <f t="shared" si="64"/>
        <v>0</v>
      </c>
      <c r="T182" s="472">
        <f t="shared" si="65"/>
        <v>0</v>
      </c>
      <c r="U182" s="182" t="s">
        <v>151</v>
      </c>
      <c r="V182" s="36" t="s">
        <v>37</v>
      </c>
      <c r="W182" s="37" t="s">
        <v>98</v>
      </c>
      <c r="X182" s="37" t="s">
        <v>124</v>
      </c>
      <c r="Y182" s="37" t="s">
        <v>291</v>
      </c>
      <c r="Z182" s="37" t="s">
        <v>90</v>
      </c>
      <c r="AA182" s="12" t="b">
        <f t="shared" si="67"/>
        <v>1</v>
      </c>
      <c r="AB182" s="12" t="b">
        <f t="shared" si="68"/>
        <v>1</v>
      </c>
      <c r="AC182" s="12" t="b">
        <f t="shared" si="69"/>
        <v>1</v>
      </c>
      <c r="AD182" s="12" t="b">
        <f t="shared" si="70"/>
        <v>1</v>
      </c>
      <c r="AE182" s="12" t="b">
        <f t="shared" si="71"/>
        <v>1</v>
      </c>
      <c r="AF182" s="12" t="b">
        <f t="shared" si="72"/>
        <v>1</v>
      </c>
    </row>
    <row r="183" spans="1:32" s="38" customFormat="1" ht="15.75" customHeight="1">
      <c r="A183" s="286"/>
      <c r="B183" s="182" t="s">
        <v>144</v>
      </c>
      <c r="C183" s="36" t="s">
        <v>37</v>
      </c>
      <c r="D183" s="37" t="s">
        <v>98</v>
      </c>
      <c r="E183" s="37" t="s">
        <v>124</v>
      </c>
      <c r="F183" s="37" t="s">
        <v>291</v>
      </c>
      <c r="G183" s="37" t="s">
        <v>152</v>
      </c>
      <c r="H183" s="183">
        <f>1499.95-4</f>
        <v>1495.95</v>
      </c>
      <c r="I183" s="183">
        <f>1499.95-4</f>
        <v>1495.95</v>
      </c>
      <c r="J183" s="183">
        <f>1499.95-4</f>
        <v>1495.95</v>
      </c>
      <c r="K183" s="183">
        <v>1495.95</v>
      </c>
      <c r="L183" s="183">
        <v>1495.95</v>
      </c>
      <c r="M183" s="183">
        <v>1495.95</v>
      </c>
      <c r="N183" s="183"/>
      <c r="O183" s="183">
        <v>1495.95</v>
      </c>
      <c r="P183" s="183">
        <v>1495.95</v>
      </c>
      <c r="Q183" s="183">
        <v>1495.95</v>
      </c>
      <c r="R183" s="472">
        <f t="shared" si="63"/>
        <v>0</v>
      </c>
      <c r="S183" s="472">
        <f t="shared" si="64"/>
        <v>0</v>
      </c>
      <c r="T183" s="472">
        <f t="shared" si="65"/>
        <v>0</v>
      </c>
      <c r="U183" s="182" t="s">
        <v>144</v>
      </c>
      <c r="V183" s="36" t="s">
        <v>37</v>
      </c>
      <c r="W183" s="37" t="s">
        <v>98</v>
      </c>
      <c r="X183" s="37" t="s">
        <v>124</v>
      </c>
      <c r="Y183" s="37" t="s">
        <v>291</v>
      </c>
      <c r="Z183" s="37" t="s">
        <v>152</v>
      </c>
      <c r="AA183" s="12" t="b">
        <f t="shared" si="67"/>
        <v>1</v>
      </c>
      <c r="AB183" s="12" t="b">
        <f t="shared" si="68"/>
        <v>1</v>
      </c>
      <c r="AC183" s="12" t="b">
        <f t="shared" si="69"/>
        <v>1</v>
      </c>
      <c r="AD183" s="12" t="b">
        <f t="shared" si="70"/>
        <v>1</v>
      </c>
      <c r="AE183" s="12" t="b">
        <f t="shared" si="71"/>
        <v>1</v>
      </c>
      <c r="AF183" s="12" t="b">
        <f t="shared" si="72"/>
        <v>1</v>
      </c>
    </row>
    <row r="184" spans="1:32" s="38" customFormat="1" ht="15.75" customHeight="1">
      <c r="A184" s="286"/>
      <c r="B184" s="182" t="s">
        <v>145</v>
      </c>
      <c r="C184" s="36" t="s">
        <v>37</v>
      </c>
      <c r="D184" s="37" t="s">
        <v>98</v>
      </c>
      <c r="E184" s="37" t="s">
        <v>124</v>
      </c>
      <c r="F184" s="37" t="s">
        <v>291</v>
      </c>
      <c r="G184" s="37" t="s">
        <v>153</v>
      </c>
      <c r="H184" s="183">
        <f>10751.76+389.07+4</f>
        <v>11144.83</v>
      </c>
      <c r="I184" s="183">
        <f>10751.76+442.09+4</f>
        <v>11197.85</v>
      </c>
      <c r="J184" s="183">
        <f>10751.76+442.09+55.15+4</f>
        <v>11253</v>
      </c>
      <c r="K184" s="183">
        <v>11144.83</v>
      </c>
      <c r="L184" s="183">
        <v>11197.85</v>
      </c>
      <c r="M184" s="183">
        <v>11253</v>
      </c>
      <c r="N184" s="183"/>
      <c r="O184" s="183">
        <v>11144.83</v>
      </c>
      <c r="P184" s="183">
        <v>11197.85</v>
      </c>
      <c r="Q184" s="183">
        <v>11253</v>
      </c>
      <c r="R184" s="472">
        <f t="shared" si="63"/>
        <v>0</v>
      </c>
      <c r="S184" s="472">
        <f t="shared" si="64"/>
        <v>0</v>
      </c>
      <c r="T184" s="472">
        <f t="shared" si="65"/>
        <v>0</v>
      </c>
      <c r="U184" s="182" t="s">
        <v>145</v>
      </c>
      <c r="V184" s="36" t="s">
        <v>37</v>
      </c>
      <c r="W184" s="37" t="s">
        <v>98</v>
      </c>
      <c r="X184" s="37" t="s">
        <v>124</v>
      </c>
      <c r="Y184" s="37" t="s">
        <v>291</v>
      </c>
      <c r="Z184" s="37" t="s">
        <v>153</v>
      </c>
      <c r="AA184" s="12" t="b">
        <f t="shared" si="67"/>
        <v>1</v>
      </c>
      <c r="AB184" s="12" t="b">
        <f t="shared" si="68"/>
        <v>1</v>
      </c>
      <c r="AC184" s="12" t="b">
        <f t="shared" si="69"/>
        <v>1</v>
      </c>
      <c r="AD184" s="12" t="b">
        <f t="shared" si="70"/>
        <v>1</v>
      </c>
      <c r="AE184" s="12" t="b">
        <f t="shared" si="71"/>
        <v>1</v>
      </c>
      <c r="AF184" s="12" t="b">
        <f t="shared" si="72"/>
        <v>1</v>
      </c>
    </row>
    <row r="185" spans="1:32" s="38" customFormat="1" ht="15.75" customHeight="1">
      <c r="A185" s="286"/>
      <c r="B185" s="182" t="s">
        <v>137</v>
      </c>
      <c r="C185" s="36" t="s">
        <v>37</v>
      </c>
      <c r="D185" s="37" t="s">
        <v>98</v>
      </c>
      <c r="E185" s="37" t="s">
        <v>124</v>
      </c>
      <c r="F185" s="37" t="s">
        <v>291</v>
      </c>
      <c r="G185" s="37" t="s">
        <v>155</v>
      </c>
      <c r="H185" s="183">
        <v>69.27</v>
      </c>
      <c r="I185" s="183">
        <v>69.27</v>
      </c>
      <c r="J185" s="183">
        <v>69.27</v>
      </c>
      <c r="K185" s="183">
        <v>69.27</v>
      </c>
      <c r="L185" s="183">
        <v>69.27</v>
      </c>
      <c r="M185" s="183">
        <v>69.27</v>
      </c>
      <c r="N185" s="183"/>
      <c r="O185" s="183">
        <v>69.27</v>
      </c>
      <c r="P185" s="183">
        <v>69.27</v>
      </c>
      <c r="Q185" s="183">
        <v>69.27</v>
      </c>
      <c r="R185" s="472">
        <f t="shared" si="63"/>
        <v>0</v>
      </c>
      <c r="S185" s="472">
        <f t="shared" si="64"/>
        <v>0</v>
      </c>
      <c r="T185" s="472">
        <f t="shared" si="65"/>
        <v>0</v>
      </c>
      <c r="U185" s="182" t="s">
        <v>137</v>
      </c>
      <c r="V185" s="36" t="s">
        <v>37</v>
      </c>
      <c r="W185" s="37" t="s">
        <v>98</v>
      </c>
      <c r="X185" s="37" t="s">
        <v>124</v>
      </c>
      <c r="Y185" s="37" t="s">
        <v>291</v>
      </c>
      <c r="Z185" s="37" t="s">
        <v>155</v>
      </c>
      <c r="AA185" s="12" t="b">
        <f t="shared" si="67"/>
        <v>1</v>
      </c>
      <c r="AB185" s="12" t="b">
        <f t="shared" si="68"/>
        <v>1</v>
      </c>
      <c r="AC185" s="12" t="b">
        <f t="shared" si="69"/>
        <v>1</v>
      </c>
      <c r="AD185" s="12" t="b">
        <f t="shared" si="70"/>
        <v>1</v>
      </c>
      <c r="AE185" s="12" t="b">
        <f t="shared" si="71"/>
        <v>1</v>
      </c>
      <c r="AF185" s="12" t="b">
        <f t="shared" si="72"/>
        <v>1</v>
      </c>
    </row>
    <row r="186" spans="1:32" s="38" customFormat="1" ht="15.75" customHeight="1">
      <c r="A186" s="286"/>
      <c r="B186" s="182" t="s">
        <v>161</v>
      </c>
      <c r="C186" s="36" t="s">
        <v>37</v>
      </c>
      <c r="D186" s="37" t="s">
        <v>98</v>
      </c>
      <c r="E186" s="37" t="s">
        <v>124</v>
      </c>
      <c r="F186" s="37" t="s">
        <v>292</v>
      </c>
      <c r="G186" s="37" t="s">
        <v>90</v>
      </c>
      <c r="H186" s="183">
        <f>SUM(H187:H187)</f>
        <v>85469.440000000002</v>
      </c>
      <c r="I186" s="183">
        <f>SUM(I187:I187)</f>
        <v>85469.440000000002</v>
      </c>
      <c r="J186" s="183">
        <f>SUM(J187:J187)</f>
        <v>85469.440000000002</v>
      </c>
      <c r="K186" s="183">
        <v>85469.440000000002</v>
      </c>
      <c r="L186" s="183">
        <v>85469.440000000002</v>
      </c>
      <c r="M186" s="183">
        <v>85469.440000000002</v>
      </c>
      <c r="N186" s="183"/>
      <c r="O186" s="183">
        <v>85469.440000000002</v>
      </c>
      <c r="P186" s="183">
        <v>85469.440000000002</v>
      </c>
      <c r="Q186" s="183">
        <v>85469.440000000002</v>
      </c>
      <c r="R186" s="472">
        <f t="shared" si="63"/>
        <v>0</v>
      </c>
      <c r="S186" s="472">
        <f t="shared" si="64"/>
        <v>0</v>
      </c>
      <c r="T186" s="472">
        <f t="shared" si="65"/>
        <v>0</v>
      </c>
      <c r="U186" s="182" t="s">
        <v>161</v>
      </c>
      <c r="V186" s="36" t="s">
        <v>37</v>
      </c>
      <c r="W186" s="37" t="s">
        <v>98</v>
      </c>
      <c r="X186" s="37" t="s">
        <v>124</v>
      </c>
      <c r="Y186" s="37" t="s">
        <v>292</v>
      </c>
      <c r="Z186" s="37" t="s">
        <v>90</v>
      </c>
      <c r="AA186" s="12" t="b">
        <f t="shared" si="67"/>
        <v>1</v>
      </c>
      <c r="AB186" s="12" t="b">
        <f t="shared" si="68"/>
        <v>1</v>
      </c>
      <c r="AC186" s="12" t="b">
        <f t="shared" si="69"/>
        <v>1</v>
      </c>
      <c r="AD186" s="12" t="b">
        <f t="shared" si="70"/>
        <v>1</v>
      </c>
      <c r="AE186" s="12" t="b">
        <f t="shared" si="71"/>
        <v>1</v>
      </c>
      <c r="AF186" s="12" t="b">
        <f t="shared" si="72"/>
        <v>1</v>
      </c>
    </row>
    <row r="187" spans="1:32" s="38" customFormat="1" ht="15.75" customHeight="1">
      <c r="A187" s="286"/>
      <c r="B187" s="182" t="s">
        <v>144</v>
      </c>
      <c r="C187" s="36" t="s">
        <v>37</v>
      </c>
      <c r="D187" s="37" t="s">
        <v>98</v>
      </c>
      <c r="E187" s="37" t="s">
        <v>124</v>
      </c>
      <c r="F187" s="37" t="s">
        <v>292</v>
      </c>
      <c r="G187" s="37" t="s">
        <v>152</v>
      </c>
      <c r="H187" s="183">
        <f>77234.31+7725.58+484.44+25.11</f>
        <v>85469.440000000002</v>
      </c>
      <c r="I187" s="183">
        <f t="shared" ref="I187:J187" si="84">77234.31+7725.58+484.44+25.11</f>
        <v>85469.440000000002</v>
      </c>
      <c r="J187" s="183">
        <f t="shared" si="84"/>
        <v>85469.440000000002</v>
      </c>
      <c r="K187" s="183">
        <v>85469.440000000002</v>
      </c>
      <c r="L187" s="183">
        <v>85469.440000000002</v>
      </c>
      <c r="M187" s="183">
        <v>85469.440000000002</v>
      </c>
      <c r="N187" s="183"/>
      <c r="O187" s="183">
        <v>85469.440000000002</v>
      </c>
      <c r="P187" s="183">
        <v>85469.440000000002</v>
      </c>
      <c r="Q187" s="183">
        <v>85469.440000000002</v>
      </c>
      <c r="R187" s="472">
        <f t="shared" si="63"/>
        <v>0</v>
      </c>
      <c r="S187" s="472">
        <f t="shared" si="64"/>
        <v>0</v>
      </c>
      <c r="T187" s="472">
        <f t="shared" si="65"/>
        <v>0</v>
      </c>
      <c r="U187" s="182" t="s">
        <v>144</v>
      </c>
      <c r="V187" s="36" t="s">
        <v>37</v>
      </c>
      <c r="W187" s="37" t="s">
        <v>98</v>
      </c>
      <c r="X187" s="37" t="s">
        <v>124</v>
      </c>
      <c r="Y187" s="37" t="s">
        <v>292</v>
      </c>
      <c r="Z187" s="37" t="s">
        <v>152</v>
      </c>
      <c r="AA187" s="12" t="b">
        <f t="shared" si="67"/>
        <v>1</v>
      </c>
      <c r="AB187" s="12" t="b">
        <f t="shared" si="68"/>
        <v>1</v>
      </c>
      <c r="AC187" s="12" t="b">
        <f t="shared" si="69"/>
        <v>1</v>
      </c>
      <c r="AD187" s="12" t="b">
        <f t="shared" si="70"/>
        <v>1</v>
      </c>
      <c r="AE187" s="12" t="b">
        <f t="shared" si="71"/>
        <v>1</v>
      </c>
      <c r="AF187" s="12" t="b">
        <f t="shared" si="72"/>
        <v>1</v>
      </c>
    </row>
    <row r="188" spans="1:32" s="38" customFormat="1" ht="15.75" customHeight="1">
      <c r="A188" s="286"/>
      <c r="B188" s="23" t="s">
        <v>607</v>
      </c>
      <c r="C188" s="36" t="s">
        <v>37</v>
      </c>
      <c r="D188" s="37" t="s">
        <v>98</v>
      </c>
      <c r="E188" s="37" t="s">
        <v>124</v>
      </c>
      <c r="F188" s="37" t="s">
        <v>604</v>
      </c>
      <c r="G188" s="37" t="s">
        <v>90</v>
      </c>
      <c r="H188" s="183">
        <f t="shared" ref="H188:H190" si="85">H189</f>
        <v>226492.41999999998</v>
      </c>
      <c r="I188" s="183">
        <f t="shared" ref="I188:I190" si="86">I189</f>
        <v>0</v>
      </c>
      <c r="J188" s="183">
        <f t="shared" ref="J188:J190" si="87">J189</f>
        <v>0</v>
      </c>
      <c r="K188" s="183">
        <v>226492.41999999998</v>
      </c>
      <c r="L188" s="183">
        <v>0</v>
      </c>
      <c r="M188" s="183">
        <v>0</v>
      </c>
      <c r="N188" s="183"/>
      <c r="O188" s="35"/>
      <c r="P188" s="35"/>
      <c r="Q188" s="35"/>
      <c r="R188" s="472">
        <f t="shared" ref="R188:R191" si="88">H188-O188</f>
        <v>226492.41999999998</v>
      </c>
      <c r="S188" s="472">
        <f t="shared" ref="S188:S191" si="89">I188-P188</f>
        <v>0</v>
      </c>
      <c r="T188" s="472">
        <f t="shared" ref="T188:T191" si="90">J188-Q188</f>
        <v>0</v>
      </c>
      <c r="U188" s="32"/>
      <c r="V188" s="33"/>
      <c r="W188" s="34"/>
      <c r="X188" s="34"/>
      <c r="Y188" s="34"/>
      <c r="Z188" s="34"/>
      <c r="AA188" s="12"/>
      <c r="AB188" s="12"/>
      <c r="AC188" s="12"/>
      <c r="AD188" s="12"/>
      <c r="AE188" s="12"/>
      <c r="AF188" s="12"/>
    </row>
    <row r="189" spans="1:32" s="38" customFormat="1" ht="15.75" customHeight="1">
      <c r="A189" s="286"/>
      <c r="B189" s="23" t="s">
        <v>608</v>
      </c>
      <c r="C189" s="36" t="s">
        <v>37</v>
      </c>
      <c r="D189" s="37" t="s">
        <v>98</v>
      </c>
      <c r="E189" s="37" t="s">
        <v>124</v>
      </c>
      <c r="F189" s="37" t="s">
        <v>605</v>
      </c>
      <c r="G189" s="37" t="s">
        <v>90</v>
      </c>
      <c r="H189" s="183">
        <f t="shared" si="85"/>
        <v>226492.41999999998</v>
      </c>
      <c r="I189" s="183">
        <f t="shared" si="86"/>
        <v>0</v>
      </c>
      <c r="J189" s="183">
        <f t="shared" si="87"/>
        <v>0</v>
      </c>
      <c r="K189" s="183">
        <v>226492.41999999998</v>
      </c>
      <c r="L189" s="183">
        <v>0</v>
      </c>
      <c r="M189" s="183">
        <v>0</v>
      </c>
      <c r="N189" s="183"/>
      <c r="O189" s="35"/>
      <c r="P189" s="35"/>
      <c r="Q189" s="35"/>
      <c r="R189" s="472">
        <f t="shared" si="88"/>
        <v>226492.41999999998</v>
      </c>
      <c r="S189" s="472">
        <f t="shared" si="89"/>
        <v>0</v>
      </c>
      <c r="T189" s="472">
        <f t="shared" si="90"/>
        <v>0</v>
      </c>
      <c r="U189" s="32"/>
      <c r="V189" s="33"/>
      <c r="W189" s="34"/>
      <c r="X189" s="34"/>
      <c r="Y189" s="34"/>
      <c r="Z189" s="34"/>
      <c r="AA189" s="12"/>
      <c r="AB189" s="12"/>
      <c r="AC189" s="12"/>
      <c r="AD189" s="12"/>
      <c r="AE189" s="12"/>
      <c r="AF189" s="12"/>
    </row>
    <row r="190" spans="1:32" s="38" customFormat="1" ht="15.75" customHeight="1">
      <c r="A190" s="286"/>
      <c r="B190" s="23" t="s">
        <v>1260</v>
      </c>
      <c r="C190" s="36" t="s">
        <v>37</v>
      </c>
      <c r="D190" s="37" t="s">
        <v>98</v>
      </c>
      <c r="E190" s="37" t="s">
        <v>124</v>
      </c>
      <c r="F190" s="37" t="s">
        <v>1261</v>
      </c>
      <c r="G190" s="37" t="s">
        <v>90</v>
      </c>
      <c r="H190" s="183">
        <f t="shared" si="85"/>
        <v>226492.41999999998</v>
      </c>
      <c r="I190" s="183">
        <f t="shared" si="86"/>
        <v>0</v>
      </c>
      <c r="J190" s="183">
        <f t="shared" si="87"/>
        <v>0</v>
      </c>
      <c r="K190" s="183">
        <v>226492.41999999998</v>
      </c>
      <c r="L190" s="183">
        <v>0</v>
      </c>
      <c r="M190" s="183">
        <v>0</v>
      </c>
      <c r="N190" s="183"/>
      <c r="O190" s="35"/>
      <c r="P190" s="35"/>
      <c r="Q190" s="35"/>
      <c r="R190" s="472">
        <f t="shared" si="88"/>
        <v>226492.41999999998</v>
      </c>
      <c r="S190" s="472">
        <f t="shared" si="89"/>
        <v>0</v>
      </c>
      <c r="T190" s="472">
        <f t="shared" si="90"/>
        <v>0</v>
      </c>
      <c r="U190" s="32"/>
      <c r="V190" s="33"/>
      <c r="W190" s="34"/>
      <c r="X190" s="34"/>
      <c r="Y190" s="34"/>
      <c r="Z190" s="34"/>
      <c r="AA190" s="12"/>
      <c r="AB190" s="12"/>
      <c r="AC190" s="12"/>
      <c r="AD190" s="12"/>
      <c r="AE190" s="12"/>
      <c r="AF190" s="12"/>
    </row>
    <row r="191" spans="1:32" s="38" customFormat="1" ht="15.75" customHeight="1">
      <c r="A191" s="286"/>
      <c r="B191" s="114" t="s">
        <v>216</v>
      </c>
      <c r="C191" s="111" t="s">
        <v>37</v>
      </c>
      <c r="D191" s="112" t="s">
        <v>98</v>
      </c>
      <c r="E191" s="112" t="s">
        <v>124</v>
      </c>
      <c r="F191" s="112" t="s">
        <v>1261</v>
      </c>
      <c r="G191" s="112" t="s">
        <v>141</v>
      </c>
      <c r="H191" s="113">
        <f>121492.42+105000</f>
        <v>226492.41999999998</v>
      </c>
      <c r="I191" s="113">
        <v>0</v>
      </c>
      <c r="J191" s="113">
        <v>0</v>
      </c>
      <c r="K191" s="113">
        <v>226492.41999999998</v>
      </c>
      <c r="L191" s="113">
        <v>0</v>
      </c>
      <c r="M191" s="113">
        <v>0</v>
      </c>
      <c r="N191" s="113"/>
      <c r="O191" s="35"/>
      <c r="P191" s="35"/>
      <c r="Q191" s="35"/>
      <c r="R191" s="472">
        <f t="shared" si="88"/>
        <v>226492.41999999998</v>
      </c>
      <c r="S191" s="472">
        <f t="shared" si="89"/>
        <v>0</v>
      </c>
      <c r="T191" s="472">
        <f t="shared" si="90"/>
        <v>0</v>
      </c>
      <c r="U191" s="32"/>
      <c r="V191" s="33"/>
      <c r="W191" s="34"/>
      <c r="X191" s="34"/>
      <c r="Y191" s="34"/>
      <c r="Z191" s="34"/>
      <c r="AA191" s="12"/>
      <c r="AB191" s="12"/>
      <c r="AC191" s="12"/>
      <c r="AD191" s="12"/>
      <c r="AE191" s="12"/>
      <c r="AF191" s="12"/>
    </row>
    <row r="192" spans="1:32" s="38" customFormat="1" ht="15.75" customHeight="1">
      <c r="A192" s="286"/>
      <c r="B192" s="28" t="s">
        <v>67</v>
      </c>
      <c r="C192" s="29" t="s">
        <v>37</v>
      </c>
      <c r="D192" s="30" t="s">
        <v>69</v>
      </c>
      <c r="E192" s="30" t="s">
        <v>83</v>
      </c>
      <c r="F192" s="30" t="s">
        <v>223</v>
      </c>
      <c r="G192" s="30" t="s">
        <v>90</v>
      </c>
      <c r="H192" s="31">
        <f>H193</f>
        <v>612</v>
      </c>
      <c r="I192" s="31">
        <f>I193</f>
        <v>612</v>
      </c>
      <c r="J192" s="31">
        <f>J193</f>
        <v>612</v>
      </c>
      <c r="K192" s="31">
        <v>612</v>
      </c>
      <c r="L192" s="31">
        <v>612</v>
      </c>
      <c r="M192" s="31">
        <v>612</v>
      </c>
      <c r="N192" s="31"/>
      <c r="O192" s="31">
        <v>612</v>
      </c>
      <c r="P192" s="31">
        <v>612</v>
      </c>
      <c r="Q192" s="31">
        <v>612</v>
      </c>
      <c r="R192" s="472">
        <f t="shared" si="63"/>
        <v>0</v>
      </c>
      <c r="S192" s="472">
        <f t="shared" si="64"/>
        <v>0</v>
      </c>
      <c r="T192" s="472">
        <f t="shared" si="65"/>
        <v>0</v>
      </c>
      <c r="U192" s="28" t="s">
        <v>67</v>
      </c>
      <c r="V192" s="29" t="s">
        <v>37</v>
      </c>
      <c r="W192" s="30" t="s">
        <v>69</v>
      </c>
      <c r="X192" s="30" t="s">
        <v>83</v>
      </c>
      <c r="Y192" s="30" t="s">
        <v>223</v>
      </c>
      <c r="Z192" s="30" t="s">
        <v>90</v>
      </c>
      <c r="AA192" s="12" t="b">
        <f t="shared" si="67"/>
        <v>1</v>
      </c>
      <c r="AB192" s="12" t="b">
        <f t="shared" si="68"/>
        <v>1</v>
      </c>
      <c r="AC192" s="12" t="b">
        <f t="shared" si="69"/>
        <v>1</v>
      </c>
      <c r="AD192" s="12" t="b">
        <f t="shared" si="70"/>
        <v>1</v>
      </c>
      <c r="AE192" s="12" t="b">
        <f t="shared" si="71"/>
        <v>1</v>
      </c>
      <c r="AF192" s="12" t="b">
        <f t="shared" si="72"/>
        <v>1</v>
      </c>
    </row>
    <row r="193" spans="1:32" s="38" customFormat="1" ht="15.75" customHeight="1">
      <c r="A193" s="286"/>
      <c r="B193" s="32" t="s">
        <v>106</v>
      </c>
      <c r="C193" s="33" t="s">
        <v>37</v>
      </c>
      <c r="D193" s="34" t="s">
        <v>69</v>
      </c>
      <c r="E193" s="34" t="s">
        <v>72</v>
      </c>
      <c r="F193" s="61" t="s">
        <v>223</v>
      </c>
      <c r="G193" s="61" t="s">
        <v>90</v>
      </c>
      <c r="H193" s="35">
        <f t="shared" ref="H193:J193" si="91">H194</f>
        <v>612</v>
      </c>
      <c r="I193" s="35">
        <f t="shared" si="91"/>
        <v>612</v>
      </c>
      <c r="J193" s="35">
        <f t="shared" si="91"/>
        <v>612</v>
      </c>
      <c r="K193" s="35">
        <v>612</v>
      </c>
      <c r="L193" s="35">
        <v>612</v>
      </c>
      <c r="M193" s="35">
        <v>612</v>
      </c>
      <c r="N193" s="35"/>
      <c r="O193" s="35">
        <v>612</v>
      </c>
      <c r="P193" s="35">
        <v>612</v>
      </c>
      <c r="Q193" s="35">
        <v>612</v>
      </c>
      <c r="R193" s="472">
        <f t="shared" si="63"/>
        <v>0</v>
      </c>
      <c r="S193" s="472">
        <f t="shared" si="64"/>
        <v>0</v>
      </c>
      <c r="T193" s="472">
        <f t="shared" si="65"/>
        <v>0</v>
      </c>
      <c r="U193" s="32" t="s">
        <v>106</v>
      </c>
      <c r="V193" s="33" t="s">
        <v>37</v>
      </c>
      <c r="W193" s="34" t="s">
        <v>69</v>
      </c>
      <c r="X193" s="34" t="s">
        <v>72</v>
      </c>
      <c r="Y193" s="61" t="s">
        <v>223</v>
      </c>
      <c r="Z193" s="61" t="s">
        <v>90</v>
      </c>
      <c r="AA193" s="12" t="b">
        <f t="shared" si="67"/>
        <v>1</v>
      </c>
      <c r="AB193" s="12" t="b">
        <f t="shared" si="68"/>
        <v>1</v>
      </c>
      <c r="AC193" s="12" t="b">
        <f t="shared" si="69"/>
        <v>1</v>
      </c>
      <c r="AD193" s="12" t="b">
        <f t="shared" si="70"/>
        <v>1</v>
      </c>
      <c r="AE193" s="12" t="b">
        <f t="shared" si="71"/>
        <v>1</v>
      </c>
      <c r="AF193" s="12" t="b">
        <f t="shared" si="72"/>
        <v>1</v>
      </c>
    </row>
    <row r="194" spans="1:32" s="38" customFormat="1" ht="51">
      <c r="A194" s="286"/>
      <c r="B194" s="23" t="s">
        <v>662</v>
      </c>
      <c r="C194" s="36" t="s">
        <v>37</v>
      </c>
      <c r="D194" s="37" t="s">
        <v>69</v>
      </c>
      <c r="E194" s="37" t="s">
        <v>72</v>
      </c>
      <c r="F194" s="37" t="s">
        <v>282</v>
      </c>
      <c r="G194" s="37" t="s">
        <v>90</v>
      </c>
      <c r="H194" s="183">
        <f t="shared" ref="H194:J196" si="92">H195</f>
        <v>612</v>
      </c>
      <c r="I194" s="183">
        <f t="shared" si="92"/>
        <v>612</v>
      </c>
      <c r="J194" s="183">
        <f t="shared" si="92"/>
        <v>612</v>
      </c>
      <c r="K194" s="183">
        <v>612</v>
      </c>
      <c r="L194" s="183">
        <v>612</v>
      </c>
      <c r="M194" s="183">
        <v>612</v>
      </c>
      <c r="N194" s="183"/>
      <c r="O194" s="183">
        <v>612</v>
      </c>
      <c r="P194" s="183">
        <v>612</v>
      </c>
      <c r="Q194" s="183">
        <v>612</v>
      </c>
      <c r="R194" s="472">
        <f t="shared" si="63"/>
        <v>0</v>
      </c>
      <c r="S194" s="472">
        <f t="shared" si="64"/>
        <v>0</v>
      </c>
      <c r="T194" s="472">
        <f t="shared" si="65"/>
        <v>0</v>
      </c>
      <c r="U194" s="23" t="s">
        <v>662</v>
      </c>
      <c r="V194" s="36" t="s">
        <v>37</v>
      </c>
      <c r="W194" s="37" t="s">
        <v>69</v>
      </c>
      <c r="X194" s="37" t="s">
        <v>72</v>
      </c>
      <c r="Y194" s="37" t="s">
        <v>282</v>
      </c>
      <c r="Z194" s="37" t="s">
        <v>90</v>
      </c>
      <c r="AA194" s="12" t="b">
        <f t="shared" si="67"/>
        <v>1</v>
      </c>
      <c r="AB194" s="12" t="b">
        <f t="shared" si="68"/>
        <v>1</v>
      </c>
      <c r="AC194" s="12" t="b">
        <f t="shared" si="69"/>
        <v>1</v>
      </c>
      <c r="AD194" s="12" t="b">
        <f t="shared" si="70"/>
        <v>1</v>
      </c>
      <c r="AE194" s="12" t="b">
        <f t="shared" si="71"/>
        <v>1</v>
      </c>
      <c r="AF194" s="12" t="b">
        <f t="shared" si="72"/>
        <v>1</v>
      </c>
    </row>
    <row r="195" spans="1:32" s="38" customFormat="1" ht="63.75">
      <c r="A195" s="286"/>
      <c r="B195" s="23" t="s">
        <v>663</v>
      </c>
      <c r="C195" s="36" t="s">
        <v>37</v>
      </c>
      <c r="D195" s="37" t="s">
        <v>69</v>
      </c>
      <c r="E195" s="37" t="s">
        <v>72</v>
      </c>
      <c r="F195" s="37" t="s">
        <v>283</v>
      </c>
      <c r="G195" s="37" t="s">
        <v>90</v>
      </c>
      <c r="H195" s="183">
        <f t="shared" si="92"/>
        <v>612</v>
      </c>
      <c r="I195" s="183">
        <f t="shared" si="92"/>
        <v>612</v>
      </c>
      <c r="J195" s="183">
        <f t="shared" si="92"/>
        <v>612</v>
      </c>
      <c r="K195" s="183">
        <v>612</v>
      </c>
      <c r="L195" s="183">
        <v>612</v>
      </c>
      <c r="M195" s="183">
        <v>612</v>
      </c>
      <c r="N195" s="183"/>
      <c r="O195" s="183">
        <v>612</v>
      </c>
      <c r="P195" s="183">
        <v>612</v>
      </c>
      <c r="Q195" s="183">
        <v>612</v>
      </c>
      <c r="R195" s="472">
        <f t="shared" si="63"/>
        <v>0</v>
      </c>
      <c r="S195" s="472">
        <f t="shared" si="64"/>
        <v>0</v>
      </c>
      <c r="T195" s="472">
        <f t="shared" si="65"/>
        <v>0</v>
      </c>
      <c r="U195" s="23" t="s">
        <v>663</v>
      </c>
      <c r="V195" s="36" t="s">
        <v>37</v>
      </c>
      <c r="W195" s="37" t="s">
        <v>69</v>
      </c>
      <c r="X195" s="37" t="s">
        <v>72</v>
      </c>
      <c r="Y195" s="37" t="s">
        <v>283</v>
      </c>
      <c r="Z195" s="37" t="s">
        <v>90</v>
      </c>
      <c r="AA195" s="12" t="b">
        <f t="shared" si="67"/>
        <v>1</v>
      </c>
      <c r="AB195" s="12" t="b">
        <f t="shared" si="68"/>
        <v>1</v>
      </c>
      <c r="AC195" s="12" t="b">
        <f t="shared" si="69"/>
        <v>1</v>
      </c>
      <c r="AD195" s="12" t="b">
        <f t="shared" si="70"/>
        <v>1</v>
      </c>
      <c r="AE195" s="12" t="b">
        <f t="shared" si="71"/>
        <v>1</v>
      </c>
      <c r="AF195" s="12" t="b">
        <f t="shared" si="72"/>
        <v>1</v>
      </c>
    </row>
    <row r="196" spans="1:32" s="38" customFormat="1" ht="51">
      <c r="A196" s="286"/>
      <c r="B196" s="182" t="s">
        <v>286</v>
      </c>
      <c r="C196" s="36" t="s">
        <v>37</v>
      </c>
      <c r="D196" s="37" t="s">
        <v>69</v>
      </c>
      <c r="E196" s="37" t="s">
        <v>72</v>
      </c>
      <c r="F196" s="37" t="s">
        <v>288</v>
      </c>
      <c r="G196" s="37" t="s">
        <v>90</v>
      </c>
      <c r="H196" s="183">
        <f>H197</f>
        <v>612</v>
      </c>
      <c r="I196" s="183">
        <f t="shared" si="92"/>
        <v>612</v>
      </c>
      <c r="J196" s="183">
        <f t="shared" si="92"/>
        <v>612</v>
      </c>
      <c r="K196" s="183">
        <v>612</v>
      </c>
      <c r="L196" s="183">
        <v>612</v>
      </c>
      <c r="M196" s="183">
        <v>612</v>
      </c>
      <c r="N196" s="183"/>
      <c r="O196" s="183">
        <v>612</v>
      </c>
      <c r="P196" s="183">
        <v>612</v>
      </c>
      <c r="Q196" s="183">
        <v>612</v>
      </c>
      <c r="R196" s="472">
        <f t="shared" si="63"/>
        <v>0</v>
      </c>
      <c r="S196" s="472">
        <f t="shared" si="64"/>
        <v>0</v>
      </c>
      <c r="T196" s="472">
        <f t="shared" si="65"/>
        <v>0</v>
      </c>
      <c r="U196" s="182" t="s">
        <v>286</v>
      </c>
      <c r="V196" s="36" t="s">
        <v>37</v>
      </c>
      <c r="W196" s="37" t="s">
        <v>69</v>
      </c>
      <c r="X196" s="37" t="s">
        <v>72</v>
      </c>
      <c r="Y196" s="37" t="s">
        <v>288</v>
      </c>
      <c r="Z196" s="37" t="s">
        <v>90</v>
      </c>
      <c r="AA196" s="12" t="b">
        <f t="shared" si="67"/>
        <v>1</v>
      </c>
      <c r="AB196" s="12" t="b">
        <f t="shared" si="68"/>
        <v>1</v>
      </c>
      <c r="AC196" s="12" t="b">
        <f t="shared" si="69"/>
        <v>1</v>
      </c>
      <c r="AD196" s="12" t="b">
        <f t="shared" si="70"/>
        <v>1</v>
      </c>
      <c r="AE196" s="12" t="b">
        <f t="shared" si="71"/>
        <v>1</v>
      </c>
      <c r="AF196" s="12" t="b">
        <f t="shared" si="72"/>
        <v>1</v>
      </c>
    </row>
    <row r="197" spans="1:32" s="38" customFormat="1" ht="51">
      <c r="A197" s="286"/>
      <c r="B197" s="182" t="s">
        <v>750</v>
      </c>
      <c r="C197" s="36" t="s">
        <v>37</v>
      </c>
      <c r="D197" s="37" t="s">
        <v>69</v>
      </c>
      <c r="E197" s="37" t="s">
        <v>72</v>
      </c>
      <c r="F197" s="37" t="s">
        <v>956</v>
      </c>
      <c r="G197" s="37" t="s">
        <v>90</v>
      </c>
      <c r="H197" s="183">
        <f>H198</f>
        <v>612</v>
      </c>
      <c r="I197" s="183">
        <f>I198</f>
        <v>612</v>
      </c>
      <c r="J197" s="183">
        <f>J198</f>
        <v>612</v>
      </c>
      <c r="K197" s="183">
        <v>612</v>
      </c>
      <c r="L197" s="183">
        <v>612</v>
      </c>
      <c r="M197" s="183">
        <v>612</v>
      </c>
      <c r="N197" s="183"/>
      <c r="O197" s="183">
        <v>612</v>
      </c>
      <c r="P197" s="183">
        <v>612</v>
      </c>
      <c r="Q197" s="183">
        <v>612</v>
      </c>
      <c r="R197" s="472">
        <f t="shared" si="63"/>
        <v>0</v>
      </c>
      <c r="S197" s="472">
        <f t="shared" si="64"/>
        <v>0</v>
      </c>
      <c r="T197" s="472">
        <f t="shared" si="65"/>
        <v>0</v>
      </c>
      <c r="U197" s="182" t="s">
        <v>750</v>
      </c>
      <c r="V197" s="36" t="s">
        <v>37</v>
      </c>
      <c r="W197" s="37" t="s">
        <v>69</v>
      </c>
      <c r="X197" s="37" t="s">
        <v>72</v>
      </c>
      <c r="Y197" s="37" t="s">
        <v>956</v>
      </c>
      <c r="Z197" s="37" t="s">
        <v>90</v>
      </c>
      <c r="AA197" s="12" t="b">
        <f t="shared" si="67"/>
        <v>1</v>
      </c>
      <c r="AB197" s="12" t="b">
        <f t="shared" si="68"/>
        <v>1</v>
      </c>
      <c r="AC197" s="12" t="b">
        <f t="shared" si="69"/>
        <v>1</v>
      </c>
      <c r="AD197" s="12" t="b">
        <f t="shared" si="70"/>
        <v>1</v>
      </c>
      <c r="AE197" s="12" t="b">
        <f t="shared" si="71"/>
        <v>1</v>
      </c>
      <c r="AF197" s="12" t="b">
        <f t="shared" si="72"/>
        <v>1</v>
      </c>
    </row>
    <row r="198" spans="1:32" s="38" customFormat="1" ht="15.75" customHeight="1">
      <c r="A198" s="286"/>
      <c r="B198" s="182" t="s">
        <v>145</v>
      </c>
      <c r="C198" s="36" t="s">
        <v>37</v>
      </c>
      <c r="D198" s="37" t="s">
        <v>69</v>
      </c>
      <c r="E198" s="37" t="s">
        <v>72</v>
      </c>
      <c r="F198" s="37" t="s">
        <v>956</v>
      </c>
      <c r="G198" s="37" t="s">
        <v>153</v>
      </c>
      <c r="H198" s="183">
        <v>612</v>
      </c>
      <c r="I198" s="183">
        <v>612</v>
      </c>
      <c r="J198" s="183">
        <v>612</v>
      </c>
      <c r="K198" s="183">
        <v>612</v>
      </c>
      <c r="L198" s="183">
        <v>612</v>
      </c>
      <c r="M198" s="183">
        <v>612</v>
      </c>
      <c r="N198" s="183"/>
      <c r="O198" s="183">
        <v>612</v>
      </c>
      <c r="P198" s="183">
        <v>612</v>
      </c>
      <c r="Q198" s="183">
        <v>612</v>
      </c>
      <c r="R198" s="472">
        <f t="shared" ref="R198:R258" si="93">H198-O198</f>
        <v>0</v>
      </c>
      <c r="S198" s="472">
        <f t="shared" ref="S198:S258" si="94">I198-P198</f>
        <v>0</v>
      </c>
      <c r="T198" s="472">
        <f t="shared" ref="T198:T258" si="95">J198-Q198</f>
        <v>0</v>
      </c>
      <c r="U198" s="182" t="s">
        <v>145</v>
      </c>
      <c r="V198" s="36" t="s">
        <v>37</v>
      </c>
      <c r="W198" s="37" t="s">
        <v>69</v>
      </c>
      <c r="X198" s="37" t="s">
        <v>72</v>
      </c>
      <c r="Y198" s="37" t="s">
        <v>956</v>
      </c>
      <c r="Z198" s="37" t="s">
        <v>153</v>
      </c>
      <c r="AA198" s="12" t="b">
        <f t="shared" si="67"/>
        <v>1</v>
      </c>
      <c r="AB198" s="12" t="b">
        <f t="shared" si="68"/>
        <v>1</v>
      </c>
      <c r="AC198" s="12" t="b">
        <f t="shared" si="69"/>
        <v>1</v>
      </c>
      <c r="AD198" s="12" t="b">
        <f t="shared" si="70"/>
        <v>1</v>
      </c>
      <c r="AE198" s="12" t="b">
        <f t="shared" si="71"/>
        <v>1</v>
      </c>
      <c r="AF198" s="12" t="b">
        <f t="shared" si="72"/>
        <v>1</v>
      </c>
    </row>
    <row r="199" spans="1:32" s="38" customFormat="1" ht="15.75" customHeight="1">
      <c r="A199" s="286"/>
      <c r="B199" s="28" t="s">
        <v>81</v>
      </c>
      <c r="C199" s="29" t="s">
        <v>37</v>
      </c>
      <c r="D199" s="30" t="s">
        <v>13</v>
      </c>
      <c r="E199" s="30" t="s">
        <v>83</v>
      </c>
      <c r="F199" s="30" t="s">
        <v>223</v>
      </c>
      <c r="G199" s="30" t="s">
        <v>90</v>
      </c>
      <c r="H199" s="31">
        <f t="shared" ref="H199:J200" si="96">H200</f>
        <v>18375.850000000002</v>
      </c>
      <c r="I199" s="31">
        <f t="shared" si="96"/>
        <v>22626.58</v>
      </c>
      <c r="J199" s="31">
        <f t="shared" si="96"/>
        <v>22175.13</v>
      </c>
      <c r="K199" s="31">
        <v>20261.36</v>
      </c>
      <c r="L199" s="31">
        <v>24289.08</v>
      </c>
      <c r="M199" s="31">
        <v>22927.93</v>
      </c>
      <c r="N199" s="31"/>
      <c r="O199" s="31">
        <v>20261.36</v>
      </c>
      <c r="P199" s="31">
        <v>24289.08</v>
      </c>
      <c r="Q199" s="31">
        <v>22927.93</v>
      </c>
      <c r="R199" s="472">
        <f t="shared" si="93"/>
        <v>-1885.5099999999984</v>
      </c>
      <c r="S199" s="472">
        <f t="shared" si="94"/>
        <v>-1662.5</v>
      </c>
      <c r="T199" s="472">
        <f t="shared" si="95"/>
        <v>-752.79999999999927</v>
      </c>
      <c r="U199" s="28" t="s">
        <v>81</v>
      </c>
      <c r="V199" s="29" t="s">
        <v>37</v>
      </c>
      <c r="W199" s="30" t="s">
        <v>13</v>
      </c>
      <c r="X199" s="30" t="s">
        <v>83</v>
      </c>
      <c r="Y199" s="30" t="s">
        <v>223</v>
      </c>
      <c r="Z199" s="30" t="s">
        <v>90</v>
      </c>
      <c r="AA199" s="12" t="b">
        <f t="shared" ref="AA199:AA259" si="97">B199=U199</f>
        <v>1</v>
      </c>
      <c r="AB199" s="12" t="b">
        <f t="shared" ref="AB199:AB259" si="98">C199=V199</f>
        <v>1</v>
      </c>
      <c r="AC199" s="12" t="b">
        <f t="shared" ref="AC199:AC259" si="99">D199=W199</f>
        <v>1</v>
      </c>
      <c r="AD199" s="12" t="b">
        <f t="shared" ref="AD199:AD259" si="100">E199=X199</f>
        <v>1</v>
      </c>
      <c r="AE199" s="12" t="b">
        <f t="shared" ref="AE199:AE259" si="101">F199=Y199</f>
        <v>1</v>
      </c>
      <c r="AF199" s="12" t="b">
        <f t="shared" ref="AF199:AF259" si="102">G199=Z199</f>
        <v>1</v>
      </c>
    </row>
    <row r="200" spans="1:32" s="38" customFormat="1" ht="15.75" customHeight="1">
      <c r="A200" s="286"/>
      <c r="B200" s="32" t="s">
        <v>30</v>
      </c>
      <c r="C200" s="33" t="s">
        <v>37</v>
      </c>
      <c r="D200" s="34">
        <v>10</v>
      </c>
      <c r="E200" s="34" t="s">
        <v>69</v>
      </c>
      <c r="F200" s="34" t="s">
        <v>223</v>
      </c>
      <c r="G200" s="34" t="s">
        <v>90</v>
      </c>
      <c r="H200" s="35">
        <f t="shared" si="96"/>
        <v>18375.850000000002</v>
      </c>
      <c r="I200" s="35">
        <f t="shared" si="96"/>
        <v>22626.58</v>
      </c>
      <c r="J200" s="35">
        <f t="shared" si="96"/>
        <v>22175.13</v>
      </c>
      <c r="K200" s="35">
        <v>20261.36</v>
      </c>
      <c r="L200" s="35">
        <v>24289.08</v>
      </c>
      <c r="M200" s="35">
        <v>22927.93</v>
      </c>
      <c r="N200" s="35"/>
      <c r="O200" s="35">
        <v>20261.36</v>
      </c>
      <c r="P200" s="35">
        <v>24289.08</v>
      </c>
      <c r="Q200" s="35">
        <v>22927.93</v>
      </c>
      <c r="R200" s="472">
        <f t="shared" si="93"/>
        <v>-1885.5099999999984</v>
      </c>
      <c r="S200" s="472">
        <f t="shared" si="94"/>
        <v>-1662.5</v>
      </c>
      <c r="T200" s="472">
        <f t="shared" si="95"/>
        <v>-752.79999999999927</v>
      </c>
      <c r="U200" s="32" t="s">
        <v>30</v>
      </c>
      <c r="V200" s="33" t="s">
        <v>37</v>
      </c>
      <c r="W200" s="34">
        <v>10</v>
      </c>
      <c r="X200" s="34" t="s">
        <v>69</v>
      </c>
      <c r="Y200" s="34" t="s">
        <v>223</v>
      </c>
      <c r="Z200" s="34" t="s">
        <v>90</v>
      </c>
      <c r="AA200" s="12" t="b">
        <f t="shared" si="97"/>
        <v>1</v>
      </c>
      <c r="AB200" s="12" t="b">
        <f t="shared" si="98"/>
        <v>1</v>
      </c>
      <c r="AC200" s="12" t="b">
        <f t="shared" si="99"/>
        <v>1</v>
      </c>
      <c r="AD200" s="12" t="b">
        <f t="shared" si="100"/>
        <v>1</v>
      </c>
      <c r="AE200" s="12" t="b">
        <f t="shared" si="101"/>
        <v>1</v>
      </c>
      <c r="AF200" s="12" t="b">
        <f t="shared" si="102"/>
        <v>1</v>
      </c>
    </row>
    <row r="201" spans="1:32" s="38" customFormat="1" ht="15.75" customHeight="1">
      <c r="A201" s="286"/>
      <c r="B201" s="182" t="s">
        <v>963</v>
      </c>
      <c r="C201" s="37" t="s">
        <v>37</v>
      </c>
      <c r="D201" s="37" t="s">
        <v>13</v>
      </c>
      <c r="E201" s="37" t="s">
        <v>69</v>
      </c>
      <c r="F201" s="37" t="s">
        <v>454</v>
      </c>
      <c r="G201" s="37" t="s">
        <v>90</v>
      </c>
      <c r="H201" s="58">
        <f t="shared" ref="H201:J203" si="103">H202</f>
        <v>18375.850000000002</v>
      </c>
      <c r="I201" s="58">
        <f t="shared" si="103"/>
        <v>22626.58</v>
      </c>
      <c r="J201" s="58">
        <f t="shared" si="103"/>
        <v>22175.13</v>
      </c>
      <c r="K201" s="58">
        <v>20261.36</v>
      </c>
      <c r="L201" s="58">
        <v>24289.08</v>
      </c>
      <c r="M201" s="58">
        <v>22927.93</v>
      </c>
      <c r="N201" s="58"/>
      <c r="O201" s="58">
        <v>20261.36</v>
      </c>
      <c r="P201" s="58">
        <v>24289.08</v>
      </c>
      <c r="Q201" s="58">
        <v>22927.93</v>
      </c>
      <c r="R201" s="472">
        <f t="shared" si="93"/>
        <v>-1885.5099999999984</v>
      </c>
      <c r="S201" s="472">
        <f t="shared" si="94"/>
        <v>-1662.5</v>
      </c>
      <c r="T201" s="472">
        <f t="shared" si="95"/>
        <v>-752.79999999999927</v>
      </c>
      <c r="U201" s="182" t="s">
        <v>963</v>
      </c>
      <c r="V201" s="37" t="s">
        <v>37</v>
      </c>
      <c r="W201" s="37" t="s">
        <v>13</v>
      </c>
      <c r="X201" s="37" t="s">
        <v>69</v>
      </c>
      <c r="Y201" s="37" t="s">
        <v>454</v>
      </c>
      <c r="Z201" s="37" t="s">
        <v>90</v>
      </c>
      <c r="AA201" s="12" t="b">
        <f t="shared" si="97"/>
        <v>1</v>
      </c>
      <c r="AB201" s="12" t="b">
        <f t="shared" si="98"/>
        <v>1</v>
      </c>
      <c r="AC201" s="12" t="b">
        <f t="shared" si="99"/>
        <v>1</v>
      </c>
      <c r="AD201" s="12" t="b">
        <f t="shared" si="100"/>
        <v>1</v>
      </c>
      <c r="AE201" s="12" t="b">
        <f t="shared" si="101"/>
        <v>1</v>
      </c>
      <c r="AF201" s="12" t="b">
        <f t="shared" si="102"/>
        <v>1</v>
      </c>
    </row>
    <row r="202" spans="1:32" s="38" customFormat="1" ht="15.75" customHeight="1">
      <c r="A202" s="286"/>
      <c r="B202" s="182" t="s">
        <v>965</v>
      </c>
      <c r="C202" s="37" t="s">
        <v>37</v>
      </c>
      <c r="D202" s="37" t="s">
        <v>13</v>
      </c>
      <c r="E202" s="37" t="s">
        <v>69</v>
      </c>
      <c r="F202" s="37" t="s">
        <v>966</v>
      </c>
      <c r="G202" s="37" t="s">
        <v>90</v>
      </c>
      <c r="H202" s="58">
        <f t="shared" si="103"/>
        <v>18375.850000000002</v>
      </c>
      <c r="I202" s="58">
        <f t="shared" si="103"/>
        <v>22626.58</v>
      </c>
      <c r="J202" s="58">
        <f t="shared" si="103"/>
        <v>22175.13</v>
      </c>
      <c r="K202" s="58">
        <v>20261.36</v>
      </c>
      <c r="L202" s="58">
        <v>24289.08</v>
      </c>
      <c r="M202" s="58">
        <v>22927.93</v>
      </c>
      <c r="N202" s="58"/>
      <c r="O202" s="58">
        <v>20261.36</v>
      </c>
      <c r="P202" s="58">
        <v>24289.08</v>
      </c>
      <c r="Q202" s="58">
        <v>22927.93</v>
      </c>
      <c r="R202" s="472">
        <f t="shared" si="93"/>
        <v>-1885.5099999999984</v>
      </c>
      <c r="S202" s="472">
        <f t="shared" si="94"/>
        <v>-1662.5</v>
      </c>
      <c r="T202" s="472">
        <f t="shared" si="95"/>
        <v>-752.79999999999927</v>
      </c>
      <c r="U202" s="182" t="s">
        <v>965</v>
      </c>
      <c r="V202" s="37" t="s">
        <v>37</v>
      </c>
      <c r="W202" s="37" t="s">
        <v>13</v>
      </c>
      <c r="X202" s="37" t="s">
        <v>69</v>
      </c>
      <c r="Y202" s="37" t="s">
        <v>966</v>
      </c>
      <c r="Z202" s="37" t="s">
        <v>90</v>
      </c>
      <c r="AA202" s="12" t="b">
        <f t="shared" si="97"/>
        <v>1</v>
      </c>
      <c r="AB202" s="12" t="b">
        <f t="shared" si="98"/>
        <v>1</v>
      </c>
      <c r="AC202" s="12" t="b">
        <f t="shared" si="99"/>
        <v>1</v>
      </c>
      <c r="AD202" s="12" t="b">
        <f t="shared" si="100"/>
        <v>1</v>
      </c>
      <c r="AE202" s="12" t="b">
        <f t="shared" si="101"/>
        <v>1</v>
      </c>
      <c r="AF202" s="12" t="b">
        <f t="shared" si="102"/>
        <v>1</v>
      </c>
    </row>
    <row r="203" spans="1:32" s="38" customFormat="1" ht="15.75" customHeight="1">
      <c r="A203" s="286"/>
      <c r="B203" s="178" t="s">
        <v>1230</v>
      </c>
      <c r="C203" s="37" t="s">
        <v>37</v>
      </c>
      <c r="D203" s="37" t="s">
        <v>13</v>
      </c>
      <c r="E203" s="37" t="s">
        <v>69</v>
      </c>
      <c r="F203" s="37" t="s">
        <v>967</v>
      </c>
      <c r="G203" s="37" t="s">
        <v>90</v>
      </c>
      <c r="H203" s="183">
        <f t="shared" si="103"/>
        <v>18375.850000000002</v>
      </c>
      <c r="I203" s="183">
        <f t="shared" si="103"/>
        <v>22626.58</v>
      </c>
      <c r="J203" s="183">
        <f t="shared" si="103"/>
        <v>22175.13</v>
      </c>
      <c r="K203" s="58">
        <v>20261.36</v>
      </c>
      <c r="L203" s="58">
        <v>24289.08</v>
      </c>
      <c r="M203" s="58">
        <v>22927.93</v>
      </c>
      <c r="N203" s="58"/>
      <c r="O203" s="58">
        <v>20261.36</v>
      </c>
      <c r="P203" s="58">
        <v>24289.08</v>
      </c>
      <c r="Q203" s="58">
        <v>22927.93</v>
      </c>
      <c r="R203" s="472">
        <f t="shared" si="93"/>
        <v>-1885.5099999999984</v>
      </c>
      <c r="S203" s="472">
        <f t="shared" si="94"/>
        <v>-1662.5</v>
      </c>
      <c r="T203" s="472">
        <f t="shared" si="95"/>
        <v>-752.79999999999927</v>
      </c>
      <c r="U203" s="54" t="s">
        <v>464</v>
      </c>
      <c r="V203" s="57" t="s">
        <v>37</v>
      </c>
      <c r="W203" s="57" t="s">
        <v>13</v>
      </c>
      <c r="X203" s="57" t="s">
        <v>69</v>
      </c>
      <c r="Y203" s="37" t="s">
        <v>967</v>
      </c>
      <c r="Z203" s="57" t="s">
        <v>90</v>
      </c>
      <c r="AA203" s="12" t="b">
        <f t="shared" si="97"/>
        <v>0</v>
      </c>
      <c r="AB203" s="12" t="b">
        <f t="shared" si="98"/>
        <v>1</v>
      </c>
      <c r="AC203" s="12" t="b">
        <f t="shared" si="99"/>
        <v>1</v>
      </c>
      <c r="AD203" s="12" t="b">
        <f t="shared" si="100"/>
        <v>1</v>
      </c>
      <c r="AE203" s="12" t="b">
        <f t="shared" si="101"/>
        <v>1</v>
      </c>
      <c r="AF203" s="12" t="b">
        <f t="shared" si="102"/>
        <v>1</v>
      </c>
    </row>
    <row r="204" spans="1:32" s="38" customFormat="1" ht="15.75" customHeight="1">
      <c r="A204" s="286"/>
      <c r="B204" s="23" t="s">
        <v>1077</v>
      </c>
      <c r="C204" s="37" t="s">
        <v>37</v>
      </c>
      <c r="D204" s="37" t="s">
        <v>13</v>
      </c>
      <c r="E204" s="57" t="s">
        <v>69</v>
      </c>
      <c r="F204" s="37" t="s">
        <v>968</v>
      </c>
      <c r="G204" s="37" t="s">
        <v>90</v>
      </c>
      <c r="H204" s="183">
        <f>H205</f>
        <v>18375.850000000002</v>
      </c>
      <c r="I204" s="183">
        <f>I205</f>
        <v>22626.58</v>
      </c>
      <c r="J204" s="183">
        <f>J205</f>
        <v>22175.13</v>
      </c>
      <c r="K204" s="183">
        <v>20261.36</v>
      </c>
      <c r="L204" s="183">
        <v>24289.08</v>
      </c>
      <c r="M204" s="183">
        <v>22927.93</v>
      </c>
      <c r="N204" s="183"/>
      <c r="O204" s="183">
        <v>20261.36</v>
      </c>
      <c r="P204" s="183">
        <v>24289.08</v>
      </c>
      <c r="Q204" s="183">
        <v>22927.93</v>
      </c>
      <c r="R204" s="472">
        <f t="shared" si="93"/>
        <v>-1885.5099999999984</v>
      </c>
      <c r="S204" s="472">
        <f t="shared" si="94"/>
        <v>-1662.5</v>
      </c>
      <c r="T204" s="472">
        <f t="shared" si="95"/>
        <v>-752.79999999999927</v>
      </c>
      <c r="U204" s="23" t="s">
        <v>1077</v>
      </c>
      <c r="V204" s="37" t="s">
        <v>37</v>
      </c>
      <c r="W204" s="37" t="s">
        <v>13</v>
      </c>
      <c r="X204" s="57" t="s">
        <v>69</v>
      </c>
      <c r="Y204" s="37" t="s">
        <v>968</v>
      </c>
      <c r="Z204" s="37" t="s">
        <v>90</v>
      </c>
      <c r="AA204" s="12" t="b">
        <f t="shared" si="97"/>
        <v>1</v>
      </c>
      <c r="AB204" s="12" t="b">
        <f t="shared" si="98"/>
        <v>1</v>
      </c>
      <c r="AC204" s="12" t="b">
        <f t="shared" si="99"/>
        <v>1</v>
      </c>
      <c r="AD204" s="12" t="b">
        <f t="shared" si="100"/>
        <v>1</v>
      </c>
      <c r="AE204" s="12" t="b">
        <f t="shared" si="101"/>
        <v>1</v>
      </c>
      <c r="AF204" s="12" t="b">
        <f t="shared" si="102"/>
        <v>1</v>
      </c>
    </row>
    <row r="205" spans="1:32" s="38" customFormat="1" ht="15.75" customHeight="1">
      <c r="A205" s="286"/>
      <c r="B205" s="65" t="s">
        <v>147</v>
      </c>
      <c r="C205" s="57" t="s">
        <v>37</v>
      </c>
      <c r="D205" s="57" t="s">
        <v>13</v>
      </c>
      <c r="E205" s="57" t="s">
        <v>69</v>
      </c>
      <c r="F205" s="57" t="s">
        <v>968</v>
      </c>
      <c r="G205" s="57" t="s">
        <v>154</v>
      </c>
      <c r="H205" s="58">
        <f>20261.36-1885.51</f>
        <v>18375.850000000002</v>
      </c>
      <c r="I205" s="58">
        <f>24289.08-1662.5</f>
        <v>22626.58</v>
      </c>
      <c r="J205" s="58">
        <f>22927.93-752.8</f>
        <v>22175.13</v>
      </c>
      <c r="K205" s="58">
        <v>20261.36</v>
      </c>
      <c r="L205" s="58">
        <v>24289.08</v>
      </c>
      <c r="M205" s="58">
        <v>22927.93</v>
      </c>
      <c r="N205" s="58"/>
      <c r="O205" s="58">
        <v>20261.36</v>
      </c>
      <c r="P205" s="58">
        <v>24289.08</v>
      </c>
      <c r="Q205" s="58">
        <v>22927.93</v>
      </c>
      <c r="R205" s="472">
        <f t="shared" si="93"/>
        <v>-1885.5099999999984</v>
      </c>
      <c r="S205" s="472">
        <f t="shared" si="94"/>
        <v>-1662.5</v>
      </c>
      <c r="T205" s="472">
        <f t="shared" si="95"/>
        <v>-752.79999999999927</v>
      </c>
      <c r="U205" s="65" t="s">
        <v>147</v>
      </c>
      <c r="V205" s="57" t="s">
        <v>37</v>
      </c>
      <c r="W205" s="57" t="s">
        <v>13</v>
      </c>
      <c r="X205" s="57" t="s">
        <v>69</v>
      </c>
      <c r="Y205" s="57" t="s">
        <v>968</v>
      </c>
      <c r="Z205" s="57" t="s">
        <v>154</v>
      </c>
      <c r="AA205" s="12" t="b">
        <f t="shared" si="97"/>
        <v>1</v>
      </c>
      <c r="AB205" s="12" t="b">
        <f t="shared" si="98"/>
        <v>1</v>
      </c>
      <c r="AC205" s="12" t="b">
        <f t="shared" si="99"/>
        <v>1</v>
      </c>
      <c r="AD205" s="12" t="b">
        <f t="shared" si="100"/>
        <v>1</v>
      </c>
      <c r="AE205" s="12" t="b">
        <f t="shared" si="101"/>
        <v>1</v>
      </c>
      <c r="AF205" s="12" t="b">
        <f t="shared" si="102"/>
        <v>1</v>
      </c>
    </row>
    <row r="206" spans="1:32" s="38" customFormat="1" ht="15.75" customHeight="1">
      <c r="A206" s="286"/>
      <c r="B206" s="182"/>
      <c r="C206" s="36"/>
      <c r="D206" s="37"/>
      <c r="E206" s="37"/>
      <c r="F206" s="37"/>
      <c r="G206" s="37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472">
        <f t="shared" si="93"/>
        <v>0</v>
      </c>
      <c r="S206" s="472">
        <f t="shared" si="94"/>
        <v>0</v>
      </c>
      <c r="T206" s="472">
        <f t="shared" si="95"/>
        <v>0</v>
      </c>
      <c r="U206" s="182"/>
      <c r="V206" s="36"/>
      <c r="W206" s="37"/>
      <c r="X206" s="37"/>
      <c r="Y206" s="37"/>
      <c r="Z206" s="37"/>
      <c r="AA206" s="12" t="b">
        <f t="shared" si="97"/>
        <v>1</v>
      </c>
      <c r="AB206" s="12" t="b">
        <f t="shared" si="98"/>
        <v>1</v>
      </c>
      <c r="AC206" s="12" t="b">
        <f t="shared" si="99"/>
        <v>1</v>
      </c>
      <c r="AD206" s="12" t="b">
        <f t="shared" si="100"/>
        <v>1</v>
      </c>
      <c r="AE206" s="12" t="b">
        <f t="shared" si="101"/>
        <v>1</v>
      </c>
      <c r="AF206" s="12" t="b">
        <f t="shared" si="102"/>
        <v>1</v>
      </c>
    </row>
    <row r="207" spans="1:32" s="38" customFormat="1" ht="15.75" customHeight="1">
      <c r="A207" s="286"/>
      <c r="B207" s="42" t="s">
        <v>107</v>
      </c>
      <c r="C207" s="25" t="s">
        <v>108</v>
      </c>
      <c r="D207" s="26" t="s">
        <v>83</v>
      </c>
      <c r="E207" s="26" t="s">
        <v>83</v>
      </c>
      <c r="F207" s="26" t="s">
        <v>223</v>
      </c>
      <c r="G207" s="26" t="s">
        <v>90</v>
      </c>
      <c r="H207" s="43">
        <f>H208+H230</f>
        <v>409653.75</v>
      </c>
      <c r="I207" s="43">
        <f>I208+I230</f>
        <v>351283.41</v>
      </c>
      <c r="J207" s="43">
        <f>J208+J230</f>
        <v>326391.95</v>
      </c>
      <c r="K207" s="43">
        <v>414289.42000000004</v>
      </c>
      <c r="L207" s="43">
        <v>358436.16</v>
      </c>
      <c r="M207" s="43">
        <v>333448.56</v>
      </c>
      <c r="N207" s="43"/>
      <c r="O207" s="43">
        <v>471318.43000000005</v>
      </c>
      <c r="P207" s="43">
        <v>375979.42</v>
      </c>
      <c r="Q207" s="43">
        <v>333657.51</v>
      </c>
      <c r="R207" s="472">
        <f t="shared" si="93"/>
        <v>-61664.680000000051</v>
      </c>
      <c r="S207" s="472">
        <f t="shared" si="94"/>
        <v>-24696.010000000009</v>
      </c>
      <c r="T207" s="472">
        <f t="shared" si="95"/>
        <v>-7265.5599999999977</v>
      </c>
      <c r="U207" s="42" t="s">
        <v>107</v>
      </c>
      <c r="V207" s="25" t="s">
        <v>108</v>
      </c>
      <c r="W207" s="26" t="s">
        <v>83</v>
      </c>
      <c r="X207" s="26" t="s">
        <v>83</v>
      </c>
      <c r="Y207" s="26" t="s">
        <v>223</v>
      </c>
      <c r="Z207" s="26" t="s">
        <v>90</v>
      </c>
      <c r="AA207" s="12" t="b">
        <f t="shared" si="97"/>
        <v>1</v>
      </c>
      <c r="AB207" s="12" t="b">
        <f t="shared" si="98"/>
        <v>1</v>
      </c>
      <c r="AC207" s="12" t="b">
        <f t="shared" si="99"/>
        <v>1</v>
      </c>
      <c r="AD207" s="12" t="b">
        <f t="shared" si="100"/>
        <v>1</v>
      </c>
      <c r="AE207" s="12" t="b">
        <f t="shared" si="101"/>
        <v>1</v>
      </c>
      <c r="AF207" s="12" t="b">
        <f t="shared" si="102"/>
        <v>1</v>
      </c>
    </row>
    <row r="208" spans="1:32" s="38" customFormat="1" ht="15.75" customHeight="1">
      <c r="A208" s="286"/>
      <c r="B208" s="28" t="s">
        <v>97</v>
      </c>
      <c r="C208" s="29" t="s">
        <v>108</v>
      </c>
      <c r="D208" s="30" t="s">
        <v>98</v>
      </c>
      <c r="E208" s="30" t="s">
        <v>83</v>
      </c>
      <c r="F208" s="30" t="s">
        <v>223</v>
      </c>
      <c r="G208" s="30" t="s">
        <v>90</v>
      </c>
      <c r="H208" s="31">
        <f>H209+H218+H223</f>
        <v>154853.75000000003</v>
      </c>
      <c r="I208" s="31">
        <f>I209+I218+I223</f>
        <v>96483.409999999989</v>
      </c>
      <c r="J208" s="31">
        <f>J209+J218+J223</f>
        <v>71591.950000000012</v>
      </c>
      <c r="K208" s="31">
        <v>159489.42000000001</v>
      </c>
      <c r="L208" s="31">
        <v>103636.15999999999</v>
      </c>
      <c r="M208" s="31">
        <v>78648.56</v>
      </c>
      <c r="N208" s="31"/>
      <c r="O208" s="31">
        <v>216518.43000000002</v>
      </c>
      <c r="P208" s="31">
        <v>121179.42</v>
      </c>
      <c r="Q208" s="31">
        <v>78857.509999999995</v>
      </c>
      <c r="R208" s="472">
        <f t="shared" si="93"/>
        <v>-61664.679999999993</v>
      </c>
      <c r="S208" s="472">
        <f t="shared" si="94"/>
        <v>-24696.010000000009</v>
      </c>
      <c r="T208" s="472">
        <f t="shared" si="95"/>
        <v>-7265.5599999999831</v>
      </c>
      <c r="U208" s="28" t="s">
        <v>97</v>
      </c>
      <c r="V208" s="29" t="s">
        <v>108</v>
      </c>
      <c r="W208" s="30" t="s">
        <v>98</v>
      </c>
      <c r="X208" s="30" t="s">
        <v>83</v>
      </c>
      <c r="Y208" s="30" t="s">
        <v>223</v>
      </c>
      <c r="Z208" s="30" t="s">
        <v>90</v>
      </c>
      <c r="AA208" s="12" t="b">
        <f t="shared" si="97"/>
        <v>1</v>
      </c>
      <c r="AB208" s="12" t="b">
        <f t="shared" si="98"/>
        <v>1</v>
      </c>
      <c r="AC208" s="12" t="b">
        <f t="shared" si="99"/>
        <v>1</v>
      </c>
      <c r="AD208" s="12" t="b">
        <f t="shared" si="100"/>
        <v>1</v>
      </c>
      <c r="AE208" s="12" t="b">
        <f t="shared" si="101"/>
        <v>1</v>
      </c>
      <c r="AF208" s="12" t="b">
        <f t="shared" si="102"/>
        <v>1</v>
      </c>
    </row>
    <row r="209" spans="1:32" s="38" customFormat="1" ht="15.75" customHeight="1">
      <c r="A209" s="286"/>
      <c r="B209" s="32" t="s">
        <v>42</v>
      </c>
      <c r="C209" s="33" t="s">
        <v>108</v>
      </c>
      <c r="D209" s="34" t="s">
        <v>98</v>
      </c>
      <c r="E209" s="34" t="s">
        <v>2</v>
      </c>
      <c r="F209" s="34" t="s">
        <v>223</v>
      </c>
      <c r="G209" s="34" t="s">
        <v>90</v>
      </c>
      <c r="H209" s="35">
        <f t="shared" ref="H209:J210" si="104">H210</f>
        <v>60877.219999999994</v>
      </c>
      <c r="I209" s="35">
        <f t="shared" si="104"/>
        <v>60877.21</v>
      </c>
      <c r="J209" s="35">
        <f t="shared" si="104"/>
        <v>60877.21</v>
      </c>
      <c r="K209" s="35">
        <v>60877.219999999994</v>
      </c>
      <c r="L209" s="35">
        <v>60877.21</v>
      </c>
      <c r="M209" s="35">
        <v>60877.21</v>
      </c>
      <c r="N209" s="35"/>
      <c r="O209" s="35">
        <v>60877.219999999994</v>
      </c>
      <c r="P209" s="35">
        <v>60877.21</v>
      </c>
      <c r="Q209" s="35">
        <v>60877.21</v>
      </c>
      <c r="R209" s="472">
        <f t="shared" si="93"/>
        <v>0</v>
      </c>
      <c r="S209" s="472">
        <f t="shared" si="94"/>
        <v>0</v>
      </c>
      <c r="T209" s="472">
        <f t="shared" si="95"/>
        <v>0</v>
      </c>
      <c r="U209" s="32" t="s">
        <v>42</v>
      </c>
      <c r="V209" s="33" t="s">
        <v>108</v>
      </c>
      <c r="W209" s="34" t="s">
        <v>98</v>
      </c>
      <c r="X209" s="34" t="s">
        <v>2</v>
      </c>
      <c r="Y209" s="34" t="s">
        <v>223</v>
      </c>
      <c r="Z209" s="34" t="s">
        <v>90</v>
      </c>
      <c r="AA209" s="12" t="b">
        <f t="shared" si="97"/>
        <v>1</v>
      </c>
      <c r="AB209" s="12" t="b">
        <f t="shared" si="98"/>
        <v>1</v>
      </c>
      <c r="AC209" s="12" t="b">
        <f t="shared" si="99"/>
        <v>1</v>
      </c>
      <c r="AD209" s="12" t="b">
        <f t="shared" si="100"/>
        <v>1</v>
      </c>
      <c r="AE209" s="12" t="b">
        <f t="shared" si="101"/>
        <v>1</v>
      </c>
      <c r="AF209" s="12" t="b">
        <f t="shared" si="102"/>
        <v>1</v>
      </c>
    </row>
    <row r="210" spans="1:32" s="38" customFormat="1" ht="15.75" customHeight="1">
      <c r="A210" s="286"/>
      <c r="B210" s="39" t="s">
        <v>163</v>
      </c>
      <c r="C210" s="36" t="s">
        <v>108</v>
      </c>
      <c r="D210" s="37" t="s">
        <v>98</v>
      </c>
      <c r="E210" s="37" t="s">
        <v>2</v>
      </c>
      <c r="F210" s="37" t="s">
        <v>299</v>
      </c>
      <c r="G210" s="37" t="s">
        <v>90</v>
      </c>
      <c r="H210" s="183">
        <f t="shared" si="104"/>
        <v>60877.219999999994</v>
      </c>
      <c r="I210" s="183">
        <f t="shared" si="104"/>
        <v>60877.21</v>
      </c>
      <c r="J210" s="183">
        <f t="shared" si="104"/>
        <v>60877.21</v>
      </c>
      <c r="K210" s="183">
        <v>60877.219999999994</v>
      </c>
      <c r="L210" s="183">
        <v>60877.21</v>
      </c>
      <c r="M210" s="183">
        <v>60877.21</v>
      </c>
      <c r="N210" s="183"/>
      <c r="O210" s="183">
        <v>60877.219999999994</v>
      </c>
      <c r="P210" s="183">
        <v>60877.21</v>
      </c>
      <c r="Q210" s="183">
        <v>60877.21</v>
      </c>
      <c r="R210" s="472">
        <f t="shared" si="93"/>
        <v>0</v>
      </c>
      <c r="S210" s="472">
        <f t="shared" si="94"/>
        <v>0</v>
      </c>
      <c r="T210" s="472">
        <f t="shared" si="95"/>
        <v>0</v>
      </c>
      <c r="U210" s="39" t="s">
        <v>163</v>
      </c>
      <c r="V210" s="36" t="s">
        <v>108</v>
      </c>
      <c r="W210" s="37" t="s">
        <v>98</v>
      </c>
      <c r="X210" s="37" t="s">
        <v>2</v>
      </c>
      <c r="Y210" s="37" t="s">
        <v>299</v>
      </c>
      <c r="Z210" s="37" t="s">
        <v>90</v>
      </c>
      <c r="AA210" s="12" t="b">
        <f t="shared" si="97"/>
        <v>1</v>
      </c>
      <c r="AB210" s="12" t="b">
        <f t="shared" si="98"/>
        <v>1</v>
      </c>
      <c r="AC210" s="12" t="b">
        <f t="shared" si="99"/>
        <v>1</v>
      </c>
      <c r="AD210" s="12" t="b">
        <f t="shared" si="100"/>
        <v>1</v>
      </c>
      <c r="AE210" s="12" t="b">
        <f t="shared" si="101"/>
        <v>1</v>
      </c>
      <c r="AF210" s="12" t="b">
        <f t="shared" si="102"/>
        <v>1</v>
      </c>
    </row>
    <row r="211" spans="1:32" s="38" customFormat="1" ht="15.75" customHeight="1">
      <c r="A211" s="286"/>
      <c r="B211" s="39" t="s">
        <v>164</v>
      </c>
      <c r="C211" s="36" t="s">
        <v>108</v>
      </c>
      <c r="D211" s="37" t="s">
        <v>98</v>
      </c>
      <c r="E211" s="37" t="s">
        <v>2</v>
      </c>
      <c r="F211" s="37" t="s">
        <v>300</v>
      </c>
      <c r="G211" s="37" t="s">
        <v>90</v>
      </c>
      <c r="H211" s="183">
        <f t="shared" ref="H211:J211" si="105">H212+H216</f>
        <v>60877.219999999994</v>
      </c>
      <c r="I211" s="183">
        <f t="shared" si="105"/>
        <v>60877.21</v>
      </c>
      <c r="J211" s="183">
        <f t="shared" si="105"/>
        <v>60877.21</v>
      </c>
      <c r="K211" s="183">
        <v>60877.219999999994</v>
      </c>
      <c r="L211" s="183">
        <v>60877.21</v>
      </c>
      <c r="M211" s="183">
        <v>60877.21</v>
      </c>
      <c r="N211" s="183"/>
      <c r="O211" s="183">
        <v>60877.219999999994</v>
      </c>
      <c r="P211" s="183">
        <v>60877.21</v>
      </c>
      <c r="Q211" s="183">
        <v>60877.21</v>
      </c>
      <c r="R211" s="472">
        <f t="shared" si="93"/>
        <v>0</v>
      </c>
      <c r="S211" s="472">
        <f t="shared" si="94"/>
        <v>0</v>
      </c>
      <c r="T211" s="472">
        <f t="shared" si="95"/>
        <v>0</v>
      </c>
      <c r="U211" s="39" t="s">
        <v>164</v>
      </c>
      <c r="V211" s="36" t="s">
        <v>108</v>
      </c>
      <c r="W211" s="37" t="s">
        <v>98</v>
      </c>
      <c r="X211" s="37" t="s">
        <v>2</v>
      </c>
      <c r="Y211" s="37" t="s">
        <v>300</v>
      </c>
      <c r="Z211" s="37" t="s">
        <v>90</v>
      </c>
      <c r="AA211" s="12" t="b">
        <f t="shared" si="97"/>
        <v>1</v>
      </c>
      <c r="AB211" s="12" t="b">
        <f t="shared" si="98"/>
        <v>1</v>
      </c>
      <c r="AC211" s="12" t="b">
        <f t="shared" si="99"/>
        <v>1</v>
      </c>
      <c r="AD211" s="12" t="b">
        <f t="shared" si="100"/>
        <v>1</v>
      </c>
      <c r="AE211" s="12" t="b">
        <f t="shared" si="101"/>
        <v>1</v>
      </c>
      <c r="AF211" s="12" t="b">
        <f t="shared" si="102"/>
        <v>1</v>
      </c>
    </row>
    <row r="212" spans="1:32" s="38" customFormat="1" ht="15.75" customHeight="1">
      <c r="A212" s="286"/>
      <c r="B212" s="62" t="s">
        <v>151</v>
      </c>
      <c r="C212" s="36" t="s">
        <v>108</v>
      </c>
      <c r="D212" s="37" t="s">
        <v>98</v>
      </c>
      <c r="E212" s="37" t="s">
        <v>2</v>
      </c>
      <c r="F212" s="37" t="s">
        <v>301</v>
      </c>
      <c r="G212" s="37" t="s">
        <v>90</v>
      </c>
      <c r="H212" s="183">
        <f>SUM(H213:H215)</f>
        <v>4818.7</v>
      </c>
      <c r="I212" s="183">
        <f>SUM(I213:I215)</f>
        <v>4818.6900000000005</v>
      </c>
      <c r="J212" s="183">
        <f>SUM(J213:J215)</f>
        <v>4818.6900000000005</v>
      </c>
      <c r="K212" s="183">
        <v>4818.7</v>
      </c>
      <c r="L212" s="183">
        <v>4818.6900000000005</v>
      </c>
      <c r="M212" s="183">
        <v>4818.6900000000005</v>
      </c>
      <c r="N212" s="183"/>
      <c r="O212" s="183">
        <v>4818.7</v>
      </c>
      <c r="P212" s="183">
        <v>4818.6900000000005</v>
      </c>
      <c r="Q212" s="183">
        <v>4818.6900000000005</v>
      </c>
      <c r="R212" s="472">
        <f t="shared" si="93"/>
        <v>0</v>
      </c>
      <c r="S212" s="472">
        <f t="shared" si="94"/>
        <v>0</v>
      </c>
      <c r="T212" s="472">
        <f t="shared" si="95"/>
        <v>0</v>
      </c>
      <c r="U212" s="62" t="s">
        <v>151</v>
      </c>
      <c r="V212" s="36" t="s">
        <v>108</v>
      </c>
      <c r="W212" s="37" t="s">
        <v>98</v>
      </c>
      <c r="X212" s="37" t="s">
        <v>2</v>
      </c>
      <c r="Y212" s="37" t="s">
        <v>301</v>
      </c>
      <c r="Z212" s="37" t="s">
        <v>90</v>
      </c>
      <c r="AA212" s="12" t="b">
        <f t="shared" si="97"/>
        <v>1</v>
      </c>
      <c r="AB212" s="12" t="b">
        <f t="shared" si="98"/>
        <v>1</v>
      </c>
      <c r="AC212" s="12" t="b">
        <f t="shared" si="99"/>
        <v>1</v>
      </c>
      <c r="AD212" s="12" t="b">
        <f t="shared" si="100"/>
        <v>1</v>
      </c>
      <c r="AE212" s="12" t="b">
        <f t="shared" si="101"/>
        <v>1</v>
      </c>
      <c r="AF212" s="12" t="b">
        <f t="shared" si="102"/>
        <v>1</v>
      </c>
    </row>
    <row r="213" spans="1:32" s="38" customFormat="1" ht="15.75" customHeight="1">
      <c r="A213" s="286"/>
      <c r="B213" s="182" t="s">
        <v>144</v>
      </c>
      <c r="C213" s="36" t="s">
        <v>108</v>
      </c>
      <c r="D213" s="37" t="s">
        <v>98</v>
      </c>
      <c r="E213" s="37" t="s">
        <v>2</v>
      </c>
      <c r="F213" s="37" t="s">
        <v>301</v>
      </c>
      <c r="G213" s="37" t="s">
        <v>152</v>
      </c>
      <c r="H213" s="183">
        <f>1291.34-16.62</f>
        <v>1274.72</v>
      </c>
      <c r="I213" s="183">
        <f>1291.34-16.62</f>
        <v>1274.72</v>
      </c>
      <c r="J213" s="183">
        <f>1291.34-16.62</f>
        <v>1274.72</v>
      </c>
      <c r="K213" s="183">
        <v>1274.72</v>
      </c>
      <c r="L213" s="183">
        <v>1274.72</v>
      </c>
      <c r="M213" s="183">
        <v>1274.72</v>
      </c>
      <c r="N213" s="183"/>
      <c r="O213" s="183">
        <v>1274.72</v>
      </c>
      <c r="P213" s="183">
        <v>1274.72</v>
      </c>
      <c r="Q213" s="183">
        <v>1274.72</v>
      </c>
      <c r="R213" s="472">
        <f t="shared" si="93"/>
        <v>0</v>
      </c>
      <c r="S213" s="472">
        <f t="shared" si="94"/>
        <v>0</v>
      </c>
      <c r="T213" s="472">
        <f t="shared" si="95"/>
        <v>0</v>
      </c>
      <c r="U213" s="182" t="s">
        <v>144</v>
      </c>
      <c r="V213" s="36" t="s">
        <v>108</v>
      </c>
      <c r="W213" s="37" t="s">
        <v>98</v>
      </c>
      <c r="X213" s="37" t="s">
        <v>2</v>
      </c>
      <c r="Y213" s="37" t="s">
        <v>301</v>
      </c>
      <c r="Z213" s="37" t="s">
        <v>152</v>
      </c>
      <c r="AA213" s="12" t="b">
        <f t="shared" si="97"/>
        <v>1</v>
      </c>
      <c r="AB213" s="12" t="b">
        <f t="shared" si="98"/>
        <v>1</v>
      </c>
      <c r="AC213" s="12" t="b">
        <f t="shared" si="99"/>
        <v>1</v>
      </c>
      <c r="AD213" s="12" t="b">
        <f t="shared" si="100"/>
        <v>1</v>
      </c>
      <c r="AE213" s="12" t="b">
        <f t="shared" si="101"/>
        <v>1</v>
      </c>
      <c r="AF213" s="12" t="b">
        <f t="shared" si="102"/>
        <v>1</v>
      </c>
    </row>
    <row r="214" spans="1:32" s="38" customFormat="1" ht="15.75" customHeight="1">
      <c r="A214" s="286"/>
      <c r="B214" s="182" t="s">
        <v>145</v>
      </c>
      <c r="C214" s="36" t="s">
        <v>108</v>
      </c>
      <c r="D214" s="37" t="s">
        <v>98</v>
      </c>
      <c r="E214" s="37" t="s">
        <v>2</v>
      </c>
      <c r="F214" s="37" t="s">
        <v>301</v>
      </c>
      <c r="G214" s="37" t="s">
        <v>153</v>
      </c>
      <c r="H214" s="183">
        <f>3639.48-143.8-5</f>
        <v>3490.68</v>
      </c>
      <c r="I214" s="183">
        <f>3495.67-5</f>
        <v>3490.67</v>
      </c>
      <c r="J214" s="183">
        <f>3495.67-5</f>
        <v>3490.67</v>
      </c>
      <c r="K214" s="183">
        <v>3490.68</v>
      </c>
      <c r="L214" s="183">
        <v>3490.67</v>
      </c>
      <c r="M214" s="183">
        <v>3490.67</v>
      </c>
      <c r="N214" s="183"/>
      <c r="O214" s="183">
        <v>3490.68</v>
      </c>
      <c r="P214" s="183">
        <v>3490.67</v>
      </c>
      <c r="Q214" s="183">
        <v>3490.67</v>
      </c>
      <c r="R214" s="472">
        <f t="shared" si="93"/>
        <v>0</v>
      </c>
      <c r="S214" s="472">
        <f t="shared" si="94"/>
        <v>0</v>
      </c>
      <c r="T214" s="472">
        <f t="shared" si="95"/>
        <v>0</v>
      </c>
      <c r="U214" s="182" t="s">
        <v>145</v>
      </c>
      <c r="V214" s="36" t="s">
        <v>108</v>
      </c>
      <c r="W214" s="37" t="s">
        <v>98</v>
      </c>
      <c r="X214" s="37" t="s">
        <v>2</v>
      </c>
      <c r="Y214" s="37" t="s">
        <v>301</v>
      </c>
      <c r="Z214" s="37" t="s">
        <v>153</v>
      </c>
      <c r="AA214" s="12" t="b">
        <f t="shared" si="97"/>
        <v>1</v>
      </c>
      <c r="AB214" s="12" t="b">
        <f t="shared" si="98"/>
        <v>1</v>
      </c>
      <c r="AC214" s="12" t="b">
        <f t="shared" si="99"/>
        <v>1</v>
      </c>
      <c r="AD214" s="12" t="b">
        <f t="shared" si="100"/>
        <v>1</v>
      </c>
      <c r="AE214" s="12" t="b">
        <f t="shared" si="101"/>
        <v>1</v>
      </c>
      <c r="AF214" s="12" t="b">
        <f t="shared" si="102"/>
        <v>1</v>
      </c>
    </row>
    <row r="215" spans="1:32" s="38" customFormat="1" ht="15.75" customHeight="1">
      <c r="A215" s="286"/>
      <c r="B215" s="182" t="s">
        <v>137</v>
      </c>
      <c r="C215" s="36" t="s">
        <v>108</v>
      </c>
      <c r="D215" s="37" t="s">
        <v>98</v>
      </c>
      <c r="E215" s="37" t="s">
        <v>2</v>
      </c>
      <c r="F215" s="37" t="s">
        <v>301</v>
      </c>
      <c r="G215" s="37" t="s">
        <v>155</v>
      </c>
      <c r="H215" s="183">
        <f>48.3+5</f>
        <v>53.3</v>
      </c>
      <c r="I215" s="183">
        <f t="shared" ref="I215:J215" si="106">48.3+5</f>
        <v>53.3</v>
      </c>
      <c r="J215" s="183">
        <f t="shared" si="106"/>
        <v>53.3</v>
      </c>
      <c r="K215" s="183">
        <v>53.3</v>
      </c>
      <c r="L215" s="183">
        <v>53.3</v>
      </c>
      <c r="M215" s="183">
        <v>53.3</v>
      </c>
      <c r="N215" s="183"/>
      <c r="O215" s="183">
        <v>53.3</v>
      </c>
      <c r="P215" s="183">
        <v>53.3</v>
      </c>
      <c r="Q215" s="183">
        <v>53.3</v>
      </c>
      <c r="R215" s="472">
        <f t="shared" si="93"/>
        <v>0</v>
      </c>
      <c r="S215" s="472">
        <f t="shared" si="94"/>
        <v>0</v>
      </c>
      <c r="T215" s="472">
        <f t="shared" si="95"/>
        <v>0</v>
      </c>
      <c r="U215" s="182" t="s">
        <v>137</v>
      </c>
      <c r="V215" s="36" t="s">
        <v>108</v>
      </c>
      <c r="W215" s="37" t="s">
        <v>98</v>
      </c>
      <c r="X215" s="37" t="s">
        <v>2</v>
      </c>
      <c r="Y215" s="37" t="s">
        <v>301</v>
      </c>
      <c r="Z215" s="37" t="s">
        <v>155</v>
      </c>
      <c r="AA215" s="12" t="b">
        <f t="shared" si="97"/>
        <v>1</v>
      </c>
      <c r="AB215" s="12" t="b">
        <f t="shared" si="98"/>
        <v>1</v>
      </c>
      <c r="AC215" s="12" t="b">
        <f t="shared" si="99"/>
        <v>1</v>
      </c>
      <c r="AD215" s="12" t="b">
        <f t="shared" si="100"/>
        <v>1</v>
      </c>
      <c r="AE215" s="12" t="b">
        <f t="shared" si="101"/>
        <v>1</v>
      </c>
      <c r="AF215" s="12" t="b">
        <f t="shared" si="102"/>
        <v>1</v>
      </c>
    </row>
    <row r="216" spans="1:32" s="38" customFormat="1" ht="15.75" customHeight="1">
      <c r="A216" s="286"/>
      <c r="B216" s="63" t="s">
        <v>161</v>
      </c>
      <c r="C216" s="36" t="s">
        <v>108</v>
      </c>
      <c r="D216" s="37" t="s">
        <v>98</v>
      </c>
      <c r="E216" s="37" t="s">
        <v>2</v>
      </c>
      <c r="F216" s="37" t="s">
        <v>302</v>
      </c>
      <c r="G216" s="37" t="s">
        <v>90</v>
      </c>
      <c r="H216" s="183">
        <f>H217</f>
        <v>56058.52</v>
      </c>
      <c r="I216" s="183">
        <f>I217</f>
        <v>56058.52</v>
      </c>
      <c r="J216" s="183">
        <f>J217</f>
        <v>56058.52</v>
      </c>
      <c r="K216" s="183">
        <v>56058.52</v>
      </c>
      <c r="L216" s="183">
        <v>56058.52</v>
      </c>
      <c r="M216" s="183">
        <v>56058.52</v>
      </c>
      <c r="N216" s="183"/>
      <c r="O216" s="183">
        <v>56058.52</v>
      </c>
      <c r="P216" s="183">
        <v>56058.52</v>
      </c>
      <c r="Q216" s="183">
        <v>56058.52</v>
      </c>
      <c r="R216" s="472">
        <f t="shared" si="93"/>
        <v>0</v>
      </c>
      <c r="S216" s="472">
        <f t="shared" si="94"/>
        <v>0</v>
      </c>
      <c r="T216" s="472">
        <f t="shared" si="95"/>
        <v>0</v>
      </c>
      <c r="U216" s="63" t="s">
        <v>161</v>
      </c>
      <c r="V216" s="36" t="s">
        <v>108</v>
      </c>
      <c r="W216" s="37" t="s">
        <v>98</v>
      </c>
      <c r="X216" s="37" t="s">
        <v>2</v>
      </c>
      <c r="Y216" s="37" t="s">
        <v>302</v>
      </c>
      <c r="Z216" s="37" t="s">
        <v>90</v>
      </c>
      <c r="AA216" s="12" t="b">
        <f t="shared" si="97"/>
        <v>1</v>
      </c>
      <c r="AB216" s="12" t="b">
        <f t="shared" si="98"/>
        <v>1</v>
      </c>
      <c r="AC216" s="12" t="b">
        <f t="shared" si="99"/>
        <v>1</v>
      </c>
      <c r="AD216" s="12" t="b">
        <f t="shared" si="100"/>
        <v>1</v>
      </c>
      <c r="AE216" s="12" t="b">
        <f t="shared" si="101"/>
        <v>1</v>
      </c>
      <c r="AF216" s="12" t="b">
        <f t="shared" si="102"/>
        <v>1</v>
      </c>
    </row>
    <row r="217" spans="1:32" s="38" customFormat="1" ht="15.75" customHeight="1">
      <c r="A217" s="286"/>
      <c r="B217" s="54" t="s">
        <v>144</v>
      </c>
      <c r="C217" s="56" t="s">
        <v>108</v>
      </c>
      <c r="D217" s="57" t="s">
        <v>98</v>
      </c>
      <c r="E217" s="57" t="s">
        <v>2</v>
      </c>
      <c r="F217" s="57" t="s">
        <v>302</v>
      </c>
      <c r="G217" s="57" t="s">
        <v>152</v>
      </c>
      <c r="H217" s="58">
        <f>50843.36+5084.34+128.76+2.06</f>
        <v>56058.52</v>
      </c>
      <c r="I217" s="58">
        <v>56058.52</v>
      </c>
      <c r="J217" s="58">
        <v>56058.52</v>
      </c>
      <c r="K217" s="58">
        <v>56058.52</v>
      </c>
      <c r="L217" s="58">
        <v>56058.52</v>
      </c>
      <c r="M217" s="58">
        <v>56058.52</v>
      </c>
      <c r="N217" s="58"/>
      <c r="O217" s="58">
        <v>56058.52</v>
      </c>
      <c r="P217" s="58">
        <v>56058.52</v>
      </c>
      <c r="Q217" s="58">
        <v>56058.52</v>
      </c>
      <c r="R217" s="472">
        <f t="shared" si="93"/>
        <v>0</v>
      </c>
      <c r="S217" s="472">
        <f t="shared" si="94"/>
        <v>0</v>
      </c>
      <c r="T217" s="472">
        <f t="shared" si="95"/>
        <v>0</v>
      </c>
      <c r="U217" s="54" t="s">
        <v>144</v>
      </c>
      <c r="V217" s="56" t="s">
        <v>108</v>
      </c>
      <c r="W217" s="57" t="s">
        <v>98</v>
      </c>
      <c r="X217" s="57" t="s">
        <v>2</v>
      </c>
      <c r="Y217" s="57" t="s">
        <v>302</v>
      </c>
      <c r="Z217" s="57" t="s">
        <v>152</v>
      </c>
      <c r="AA217" s="12" t="b">
        <f t="shared" si="97"/>
        <v>1</v>
      </c>
      <c r="AB217" s="12" t="b">
        <f t="shared" si="98"/>
        <v>1</v>
      </c>
      <c r="AC217" s="12" t="b">
        <f t="shared" si="99"/>
        <v>1</v>
      </c>
      <c r="AD217" s="12" t="b">
        <f t="shared" si="100"/>
        <v>1</v>
      </c>
      <c r="AE217" s="12" t="b">
        <f t="shared" si="101"/>
        <v>1</v>
      </c>
      <c r="AF217" s="12" t="b">
        <f t="shared" si="102"/>
        <v>1</v>
      </c>
    </row>
    <row r="218" spans="1:32" s="38" customFormat="1" ht="15.75" customHeight="1">
      <c r="A218" s="286"/>
      <c r="B218" s="32" t="s">
        <v>303</v>
      </c>
      <c r="C218" s="33" t="s">
        <v>108</v>
      </c>
      <c r="D218" s="34" t="s">
        <v>98</v>
      </c>
      <c r="E218" s="34" t="s">
        <v>112</v>
      </c>
      <c r="F218" s="34" t="s">
        <v>223</v>
      </c>
      <c r="G218" s="34" t="s">
        <v>304</v>
      </c>
      <c r="H218" s="35">
        <f>H219</f>
        <v>82232.110000000015</v>
      </c>
      <c r="I218" s="35">
        <f>I219</f>
        <v>28121.78</v>
      </c>
      <c r="J218" s="35">
        <f>J219</f>
        <v>3230.3200000000061</v>
      </c>
      <c r="K218" s="35">
        <v>86867.780000000013</v>
      </c>
      <c r="L218" s="35">
        <v>35274.53</v>
      </c>
      <c r="M218" s="35">
        <v>10286.930000000006</v>
      </c>
      <c r="N218" s="35"/>
      <c r="O218" s="35">
        <v>143896.79</v>
      </c>
      <c r="P218" s="35">
        <v>52817.79</v>
      </c>
      <c r="Q218" s="35">
        <v>10495.880000000005</v>
      </c>
      <c r="R218" s="472">
        <f t="shared" si="93"/>
        <v>-61664.679999999993</v>
      </c>
      <c r="S218" s="472">
        <f t="shared" si="94"/>
        <v>-24696.010000000002</v>
      </c>
      <c r="T218" s="472">
        <f t="shared" si="95"/>
        <v>-7265.5599999999986</v>
      </c>
      <c r="U218" s="32" t="s">
        <v>303</v>
      </c>
      <c r="V218" s="33" t="s">
        <v>108</v>
      </c>
      <c r="W218" s="34" t="s">
        <v>98</v>
      </c>
      <c r="X218" s="34" t="s">
        <v>112</v>
      </c>
      <c r="Y218" s="34" t="s">
        <v>223</v>
      </c>
      <c r="Z218" s="34" t="s">
        <v>304</v>
      </c>
      <c r="AA218" s="12" t="b">
        <f t="shared" si="97"/>
        <v>1</v>
      </c>
      <c r="AB218" s="12" t="b">
        <f t="shared" si="98"/>
        <v>1</v>
      </c>
      <c r="AC218" s="12" t="b">
        <f t="shared" si="99"/>
        <v>1</v>
      </c>
      <c r="AD218" s="12" t="b">
        <f t="shared" si="100"/>
        <v>1</v>
      </c>
      <c r="AE218" s="12" t="b">
        <f t="shared" si="101"/>
        <v>1</v>
      </c>
      <c r="AF218" s="12" t="b">
        <f t="shared" si="102"/>
        <v>1</v>
      </c>
    </row>
    <row r="219" spans="1:32" s="38" customFormat="1" ht="15.75" customHeight="1">
      <c r="A219" s="286"/>
      <c r="B219" s="182" t="s">
        <v>607</v>
      </c>
      <c r="C219" s="36" t="s">
        <v>108</v>
      </c>
      <c r="D219" s="37" t="s">
        <v>98</v>
      </c>
      <c r="E219" s="37" t="s">
        <v>112</v>
      </c>
      <c r="F219" s="37" t="s">
        <v>604</v>
      </c>
      <c r="G219" s="37" t="s">
        <v>90</v>
      </c>
      <c r="H219" s="183">
        <f t="shared" ref="H219:J221" si="107">H220</f>
        <v>82232.110000000015</v>
      </c>
      <c r="I219" s="183">
        <f t="shared" si="107"/>
        <v>28121.78</v>
      </c>
      <c r="J219" s="183">
        <f t="shared" si="107"/>
        <v>3230.3200000000061</v>
      </c>
      <c r="K219" s="183">
        <v>86867.780000000013</v>
      </c>
      <c r="L219" s="183">
        <v>35274.53</v>
      </c>
      <c r="M219" s="183">
        <v>10286.930000000006</v>
      </c>
      <c r="N219" s="183"/>
      <c r="O219" s="183">
        <v>143896.79</v>
      </c>
      <c r="P219" s="183">
        <v>52817.79</v>
      </c>
      <c r="Q219" s="183">
        <v>10495.880000000005</v>
      </c>
      <c r="R219" s="472">
        <f t="shared" si="93"/>
        <v>-61664.679999999993</v>
      </c>
      <c r="S219" s="472">
        <f t="shared" si="94"/>
        <v>-24696.010000000002</v>
      </c>
      <c r="T219" s="472">
        <f t="shared" si="95"/>
        <v>-7265.5599999999986</v>
      </c>
      <c r="U219" s="182" t="s">
        <v>607</v>
      </c>
      <c r="V219" s="36" t="s">
        <v>108</v>
      </c>
      <c r="W219" s="37" t="s">
        <v>98</v>
      </c>
      <c r="X219" s="37" t="s">
        <v>112</v>
      </c>
      <c r="Y219" s="37" t="s">
        <v>604</v>
      </c>
      <c r="Z219" s="37" t="s">
        <v>90</v>
      </c>
      <c r="AA219" s="12" t="b">
        <f t="shared" si="97"/>
        <v>1</v>
      </c>
      <c r="AB219" s="12" t="b">
        <f t="shared" si="98"/>
        <v>1</v>
      </c>
      <c r="AC219" s="12" t="b">
        <f t="shared" si="99"/>
        <v>1</v>
      </c>
      <c r="AD219" s="12" t="b">
        <f t="shared" si="100"/>
        <v>1</v>
      </c>
      <c r="AE219" s="12" t="b">
        <f t="shared" si="101"/>
        <v>1</v>
      </c>
      <c r="AF219" s="12" t="b">
        <f t="shared" si="102"/>
        <v>1</v>
      </c>
    </row>
    <row r="220" spans="1:32" s="38" customFormat="1" ht="15.75" customHeight="1">
      <c r="A220" s="286"/>
      <c r="B220" s="182" t="s">
        <v>608</v>
      </c>
      <c r="C220" s="36" t="s">
        <v>108</v>
      </c>
      <c r="D220" s="37" t="s">
        <v>98</v>
      </c>
      <c r="E220" s="37" t="s">
        <v>112</v>
      </c>
      <c r="F220" s="37" t="s">
        <v>605</v>
      </c>
      <c r="G220" s="37" t="s">
        <v>90</v>
      </c>
      <c r="H220" s="183">
        <f t="shared" si="107"/>
        <v>82232.110000000015</v>
      </c>
      <c r="I220" s="183">
        <f t="shared" si="107"/>
        <v>28121.78</v>
      </c>
      <c r="J220" s="183">
        <f t="shared" si="107"/>
        <v>3230.3200000000061</v>
      </c>
      <c r="K220" s="183">
        <v>86867.780000000013</v>
      </c>
      <c r="L220" s="183">
        <v>35274.53</v>
      </c>
      <c r="M220" s="183">
        <v>10286.930000000006</v>
      </c>
      <c r="N220" s="183"/>
      <c r="O220" s="183">
        <v>143896.79</v>
      </c>
      <c r="P220" s="183">
        <v>52817.79</v>
      </c>
      <c r="Q220" s="183">
        <v>10495.880000000005</v>
      </c>
      <c r="R220" s="472">
        <f t="shared" si="93"/>
        <v>-61664.679999999993</v>
      </c>
      <c r="S220" s="472">
        <f t="shared" si="94"/>
        <v>-24696.010000000002</v>
      </c>
      <c r="T220" s="472">
        <f t="shared" si="95"/>
        <v>-7265.5599999999986</v>
      </c>
      <c r="U220" s="182" t="s">
        <v>608</v>
      </c>
      <c r="V220" s="36" t="s">
        <v>108</v>
      </c>
      <c r="W220" s="37" t="s">
        <v>98</v>
      </c>
      <c r="X220" s="37" t="s">
        <v>112</v>
      </c>
      <c r="Y220" s="37" t="s">
        <v>605</v>
      </c>
      <c r="Z220" s="37" t="s">
        <v>90</v>
      </c>
      <c r="AA220" s="12" t="b">
        <f t="shared" si="97"/>
        <v>1</v>
      </c>
      <c r="AB220" s="12" t="b">
        <f t="shared" si="98"/>
        <v>1</v>
      </c>
      <c r="AC220" s="12" t="b">
        <f t="shared" si="99"/>
        <v>1</v>
      </c>
      <c r="AD220" s="12" t="b">
        <f t="shared" si="100"/>
        <v>1</v>
      </c>
      <c r="AE220" s="12" t="b">
        <f t="shared" si="101"/>
        <v>1</v>
      </c>
      <c r="AF220" s="12" t="b">
        <f t="shared" si="102"/>
        <v>1</v>
      </c>
    </row>
    <row r="221" spans="1:32" s="38" customFormat="1" ht="15.75" customHeight="1">
      <c r="A221" s="286"/>
      <c r="B221" s="182" t="s">
        <v>0</v>
      </c>
      <c r="C221" s="36" t="s">
        <v>108</v>
      </c>
      <c r="D221" s="37" t="s">
        <v>98</v>
      </c>
      <c r="E221" s="37" t="s">
        <v>112</v>
      </c>
      <c r="F221" s="37" t="s">
        <v>784</v>
      </c>
      <c r="G221" s="37" t="s">
        <v>90</v>
      </c>
      <c r="H221" s="183">
        <f t="shared" si="107"/>
        <v>82232.110000000015</v>
      </c>
      <c r="I221" s="183">
        <f t="shared" si="107"/>
        <v>28121.78</v>
      </c>
      <c r="J221" s="183">
        <f t="shared" si="107"/>
        <v>3230.3200000000061</v>
      </c>
      <c r="K221" s="183">
        <v>86867.780000000013</v>
      </c>
      <c r="L221" s="183">
        <v>35274.53</v>
      </c>
      <c r="M221" s="183">
        <v>10286.930000000006</v>
      </c>
      <c r="N221" s="183"/>
      <c r="O221" s="183">
        <v>143896.79</v>
      </c>
      <c r="P221" s="183">
        <v>52817.79</v>
      </c>
      <c r="Q221" s="183">
        <v>10495.880000000005</v>
      </c>
      <c r="R221" s="472">
        <f t="shared" si="93"/>
        <v>-61664.679999999993</v>
      </c>
      <c r="S221" s="472">
        <f t="shared" si="94"/>
        <v>-24696.010000000002</v>
      </c>
      <c r="T221" s="472">
        <f t="shared" si="95"/>
        <v>-7265.5599999999986</v>
      </c>
      <c r="U221" s="182" t="s">
        <v>0</v>
      </c>
      <c r="V221" s="36" t="s">
        <v>108</v>
      </c>
      <c r="W221" s="37" t="s">
        <v>98</v>
      </c>
      <c r="X221" s="37" t="s">
        <v>112</v>
      </c>
      <c r="Y221" s="37" t="s">
        <v>784</v>
      </c>
      <c r="Z221" s="37" t="s">
        <v>90</v>
      </c>
      <c r="AA221" s="12" t="b">
        <f t="shared" si="97"/>
        <v>1</v>
      </c>
      <c r="AB221" s="12" t="b">
        <f t="shared" si="98"/>
        <v>1</v>
      </c>
      <c r="AC221" s="12" t="b">
        <f t="shared" si="99"/>
        <v>1</v>
      </c>
      <c r="AD221" s="12" t="b">
        <f t="shared" si="100"/>
        <v>1</v>
      </c>
      <c r="AE221" s="12" t="b">
        <f t="shared" si="101"/>
        <v>1</v>
      </c>
      <c r="AF221" s="12" t="b">
        <f t="shared" si="102"/>
        <v>1</v>
      </c>
    </row>
    <row r="222" spans="1:32" s="38" customFormat="1" ht="15.75" customHeight="1">
      <c r="A222" s="286"/>
      <c r="B222" s="182" t="s">
        <v>138</v>
      </c>
      <c r="C222" s="36" t="s">
        <v>108</v>
      </c>
      <c r="D222" s="37" t="s">
        <v>98</v>
      </c>
      <c r="E222" s="37" t="s">
        <v>112</v>
      </c>
      <c r="F222" s="37" t="s">
        <v>784</v>
      </c>
      <c r="G222" s="37" t="s">
        <v>140</v>
      </c>
      <c r="H222" s="183">
        <f>42484.23+138739.55-37326.99-56872.36-156.65-4635.67</f>
        <v>82232.110000000015</v>
      </c>
      <c r="I222" s="183">
        <f>37484.23+15333.56-17386.61-156.65-7152.75</f>
        <v>28121.78</v>
      </c>
      <c r="J222" s="183">
        <f>37484.23-26988.35-52.3-156.65-7056.61</f>
        <v>3230.3200000000061</v>
      </c>
      <c r="K222" s="183">
        <v>86867.780000000013</v>
      </c>
      <c r="L222" s="183">
        <v>35274.53</v>
      </c>
      <c r="M222" s="183">
        <v>10286.930000000006</v>
      </c>
      <c r="N222" s="183"/>
      <c r="O222" s="183">
        <v>143896.79</v>
      </c>
      <c r="P222" s="183">
        <v>52817.79</v>
      </c>
      <c r="Q222" s="183">
        <v>10495.880000000005</v>
      </c>
      <c r="R222" s="472">
        <f t="shared" si="93"/>
        <v>-61664.679999999993</v>
      </c>
      <c r="S222" s="472">
        <f t="shared" si="94"/>
        <v>-24696.010000000002</v>
      </c>
      <c r="T222" s="472">
        <f t="shared" si="95"/>
        <v>-7265.5599999999986</v>
      </c>
      <c r="U222" s="182" t="s">
        <v>138</v>
      </c>
      <c r="V222" s="36" t="s">
        <v>108</v>
      </c>
      <c r="W222" s="37" t="s">
        <v>98</v>
      </c>
      <c r="X222" s="37" t="s">
        <v>112</v>
      </c>
      <c r="Y222" s="37" t="s">
        <v>784</v>
      </c>
      <c r="Z222" s="37" t="s">
        <v>140</v>
      </c>
      <c r="AA222" s="12" t="b">
        <f t="shared" si="97"/>
        <v>1</v>
      </c>
      <c r="AB222" s="12" t="b">
        <f t="shared" si="98"/>
        <v>1</v>
      </c>
      <c r="AC222" s="12" t="b">
        <f t="shared" si="99"/>
        <v>1</v>
      </c>
      <c r="AD222" s="12" t="b">
        <f t="shared" si="100"/>
        <v>1</v>
      </c>
      <c r="AE222" s="12" t="b">
        <f t="shared" si="101"/>
        <v>1</v>
      </c>
      <c r="AF222" s="12" t="b">
        <f t="shared" si="102"/>
        <v>1</v>
      </c>
    </row>
    <row r="223" spans="1:32" s="38" customFormat="1" ht="15.75" customHeight="1">
      <c r="A223" s="286"/>
      <c r="B223" s="32" t="s">
        <v>70</v>
      </c>
      <c r="C223" s="33" t="s">
        <v>108</v>
      </c>
      <c r="D223" s="34" t="s">
        <v>98</v>
      </c>
      <c r="E223" s="34" t="s">
        <v>124</v>
      </c>
      <c r="F223" s="34" t="s">
        <v>223</v>
      </c>
      <c r="G223" s="34" t="s">
        <v>90</v>
      </c>
      <c r="H223" s="35">
        <f t="shared" ref="H223:J224" si="108">H224</f>
        <v>11744.42</v>
      </c>
      <c r="I223" s="35">
        <f t="shared" si="108"/>
        <v>7484.42</v>
      </c>
      <c r="J223" s="35">
        <f t="shared" si="108"/>
        <v>7484.42</v>
      </c>
      <c r="K223" s="35">
        <v>11744.42</v>
      </c>
      <c r="L223" s="35">
        <v>7484.42</v>
      </c>
      <c r="M223" s="35">
        <v>7484.42</v>
      </c>
      <c r="N223" s="35"/>
      <c r="O223" s="35">
        <v>11744.42</v>
      </c>
      <c r="P223" s="35">
        <v>7484.42</v>
      </c>
      <c r="Q223" s="35">
        <v>7484.42</v>
      </c>
      <c r="R223" s="472">
        <f t="shared" si="93"/>
        <v>0</v>
      </c>
      <c r="S223" s="472">
        <f t="shared" si="94"/>
        <v>0</v>
      </c>
      <c r="T223" s="472">
        <f t="shared" si="95"/>
        <v>0</v>
      </c>
      <c r="U223" s="32" t="s">
        <v>70</v>
      </c>
      <c r="V223" s="33" t="s">
        <v>108</v>
      </c>
      <c r="W223" s="34" t="s">
        <v>98</v>
      </c>
      <c r="X223" s="34" t="s">
        <v>124</v>
      </c>
      <c r="Y223" s="34" t="s">
        <v>223</v>
      </c>
      <c r="Z223" s="34" t="s">
        <v>90</v>
      </c>
      <c r="AA223" s="12" t="b">
        <f t="shared" si="97"/>
        <v>1</v>
      </c>
      <c r="AB223" s="12" t="b">
        <f t="shared" si="98"/>
        <v>1</v>
      </c>
      <c r="AC223" s="12" t="b">
        <f t="shared" si="99"/>
        <v>1</v>
      </c>
      <c r="AD223" s="12" t="b">
        <f t="shared" si="100"/>
        <v>1</v>
      </c>
      <c r="AE223" s="12" t="b">
        <f t="shared" si="101"/>
        <v>1</v>
      </c>
      <c r="AF223" s="12" t="b">
        <f t="shared" si="102"/>
        <v>1</v>
      </c>
    </row>
    <row r="224" spans="1:32" s="38" customFormat="1" ht="15.75" customHeight="1">
      <c r="A224" s="286"/>
      <c r="B224" s="182" t="s">
        <v>607</v>
      </c>
      <c r="C224" s="36" t="s">
        <v>108</v>
      </c>
      <c r="D224" s="37" t="s">
        <v>98</v>
      </c>
      <c r="E224" s="37" t="s">
        <v>124</v>
      </c>
      <c r="F224" s="37" t="s">
        <v>604</v>
      </c>
      <c r="G224" s="37" t="s">
        <v>90</v>
      </c>
      <c r="H224" s="183">
        <f t="shared" si="108"/>
        <v>11744.42</v>
      </c>
      <c r="I224" s="183">
        <f t="shared" si="108"/>
        <v>7484.42</v>
      </c>
      <c r="J224" s="183">
        <f t="shared" si="108"/>
        <v>7484.42</v>
      </c>
      <c r="K224" s="183">
        <v>11744.42</v>
      </c>
      <c r="L224" s="183">
        <v>7484.42</v>
      </c>
      <c r="M224" s="183">
        <v>7484.42</v>
      </c>
      <c r="N224" s="183"/>
      <c r="O224" s="183">
        <v>11744.42</v>
      </c>
      <c r="P224" s="183">
        <v>7484.42</v>
      </c>
      <c r="Q224" s="183">
        <v>7484.42</v>
      </c>
      <c r="R224" s="472">
        <f t="shared" si="93"/>
        <v>0</v>
      </c>
      <c r="S224" s="472">
        <f t="shared" si="94"/>
        <v>0</v>
      </c>
      <c r="T224" s="472">
        <f t="shared" si="95"/>
        <v>0</v>
      </c>
      <c r="U224" s="182" t="s">
        <v>607</v>
      </c>
      <c r="V224" s="36" t="s">
        <v>108</v>
      </c>
      <c r="W224" s="37" t="s">
        <v>98</v>
      </c>
      <c r="X224" s="37" t="s">
        <v>124</v>
      </c>
      <c r="Y224" s="37" t="s">
        <v>604</v>
      </c>
      <c r="Z224" s="37" t="s">
        <v>90</v>
      </c>
      <c r="AA224" s="12" t="b">
        <f t="shared" si="97"/>
        <v>1</v>
      </c>
      <c r="AB224" s="12" t="b">
        <f t="shared" si="98"/>
        <v>1</v>
      </c>
      <c r="AC224" s="12" t="b">
        <f t="shared" si="99"/>
        <v>1</v>
      </c>
      <c r="AD224" s="12" t="b">
        <f t="shared" si="100"/>
        <v>1</v>
      </c>
      <c r="AE224" s="12" t="b">
        <f t="shared" si="101"/>
        <v>1</v>
      </c>
      <c r="AF224" s="12" t="b">
        <f t="shared" si="102"/>
        <v>1</v>
      </c>
    </row>
    <row r="225" spans="1:32" s="38" customFormat="1" ht="15.75" customHeight="1">
      <c r="A225" s="286"/>
      <c r="B225" s="182" t="s">
        <v>608</v>
      </c>
      <c r="C225" s="36" t="s">
        <v>108</v>
      </c>
      <c r="D225" s="37" t="s">
        <v>98</v>
      </c>
      <c r="E225" s="37" t="s">
        <v>124</v>
      </c>
      <c r="F225" s="37" t="s">
        <v>605</v>
      </c>
      <c r="G225" s="37" t="s">
        <v>90</v>
      </c>
      <c r="H225" s="183">
        <f>H226+H228</f>
        <v>11744.42</v>
      </c>
      <c r="I225" s="183">
        <f>I226+I228</f>
        <v>7484.42</v>
      </c>
      <c r="J225" s="183">
        <f>J226+J228</f>
        <v>7484.42</v>
      </c>
      <c r="K225" s="183">
        <v>11744.42</v>
      </c>
      <c r="L225" s="183">
        <v>7484.42</v>
      </c>
      <c r="M225" s="183">
        <v>7484.42</v>
      </c>
      <c r="N225" s="183"/>
      <c r="O225" s="183">
        <v>11744.42</v>
      </c>
      <c r="P225" s="183">
        <v>7484.42</v>
      </c>
      <c r="Q225" s="183">
        <v>7484.42</v>
      </c>
      <c r="R225" s="472">
        <f t="shared" si="93"/>
        <v>0</v>
      </c>
      <c r="S225" s="472">
        <f t="shared" si="94"/>
        <v>0</v>
      </c>
      <c r="T225" s="472">
        <f t="shared" si="95"/>
        <v>0</v>
      </c>
      <c r="U225" s="182" t="s">
        <v>608</v>
      </c>
      <c r="V225" s="36" t="s">
        <v>108</v>
      </c>
      <c r="W225" s="37" t="s">
        <v>98</v>
      </c>
      <c r="X225" s="37" t="s">
        <v>124</v>
      </c>
      <c r="Y225" s="37" t="s">
        <v>605</v>
      </c>
      <c r="Z225" s="37" t="s">
        <v>90</v>
      </c>
      <c r="AA225" s="12" t="b">
        <f t="shared" si="97"/>
        <v>1</v>
      </c>
      <c r="AB225" s="12" t="b">
        <f t="shared" si="98"/>
        <v>1</v>
      </c>
      <c r="AC225" s="12" t="b">
        <f t="shared" si="99"/>
        <v>1</v>
      </c>
      <c r="AD225" s="12" t="b">
        <f t="shared" si="100"/>
        <v>1</v>
      </c>
      <c r="AE225" s="12" t="b">
        <f t="shared" si="101"/>
        <v>1</v>
      </c>
      <c r="AF225" s="12" t="b">
        <f t="shared" si="102"/>
        <v>1</v>
      </c>
    </row>
    <row r="226" spans="1:32" s="38" customFormat="1" ht="15.75" customHeight="1">
      <c r="A226" s="286"/>
      <c r="B226" s="182" t="s">
        <v>520</v>
      </c>
      <c r="C226" s="36" t="s">
        <v>108</v>
      </c>
      <c r="D226" s="37" t="s">
        <v>98</v>
      </c>
      <c r="E226" s="37" t="s">
        <v>124</v>
      </c>
      <c r="F226" s="37" t="s">
        <v>609</v>
      </c>
      <c r="G226" s="37" t="s">
        <v>90</v>
      </c>
      <c r="H226" s="183">
        <f>H227</f>
        <v>5000</v>
      </c>
      <c r="I226" s="183">
        <f>I227</f>
        <v>5000</v>
      </c>
      <c r="J226" s="183">
        <f>J227</f>
        <v>5000</v>
      </c>
      <c r="K226" s="183">
        <v>5000</v>
      </c>
      <c r="L226" s="183">
        <v>5000</v>
      </c>
      <c r="M226" s="183">
        <v>5000</v>
      </c>
      <c r="N226" s="183"/>
      <c r="O226" s="183">
        <v>5000</v>
      </c>
      <c r="P226" s="183">
        <v>5000</v>
      </c>
      <c r="Q226" s="183">
        <v>5000</v>
      </c>
      <c r="R226" s="472">
        <f t="shared" si="93"/>
        <v>0</v>
      </c>
      <c r="S226" s="472">
        <f t="shared" si="94"/>
        <v>0</v>
      </c>
      <c r="T226" s="472">
        <f t="shared" si="95"/>
        <v>0</v>
      </c>
      <c r="U226" s="182" t="s">
        <v>520</v>
      </c>
      <c r="V226" s="36" t="s">
        <v>108</v>
      </c>
      <c r="W226" s="37" t="s">
        <v>98</v>
      </c>
      <c r="X226" s="37" t="s">
        <v>124</v>
      </c>
      <c r="Y226" s="37" t="s">
        <v>609</v>
      </c>
      <c r="Z226" s="37" t="s">
        <v>90</v>
      </c>
      <c r="AA226" s="12" t="b">
        <f t="shared" si="97"/>
        <v>1</v>
      </c>
      <c r="AB226" s="12" t="b">
        <f t="shared" si="98"/>
        <v>1</v>
      </c>
      <c r="AC226" s="12" t="b">
        <f t="shared" si="99"/>
        <v>1</v>
      </c>
      <c r="AD226" s="12" t="b">
        <f t="shared" si="100"/>
        <v>1</v>
      </c>
      <c r="AE226" s="12" t="b">
        <f t="shared" si="101"/>
        <v>1</v>
      </c>
      <c r="AF226" s="12" t="b">
        <f t="shared" si="102"/>
        <v>1</v>
      </c>
    </row>
    <row r="227" spans="1:32" s="38" customFormat="1" ht="15.75" customHeight="1">
      <c r="A227" s="286"/>
      <c r="B227" s="182" t="s">
        <v>138</v>
      </c>
      <c r="C227" s="36" t="s">
        <v>108</v>
      </c>
      <c r="D227" s="37" t="s">
        <v>98</v>
      </c>
      <c r="E227" s="37" t="s">
        <v>124</v>
      </c>
      <c r="F227" s="37" t="s">
        <v>609</v>
      </c>
      <c r="G227" s="37" t="s">
        <v>140</v>
      </c>
      <c r="H227" s="183">
        <v>5000</v>
      </c>
      <c r="I227" s="183">
        <v>5000</v>
      </c>
      <c r="J227" s="183">
        <v>5000</v>
      </c>
      <c r="K227" s="183">
        <v>5000</v>
      </c>
      <c r="L227" s="183">
        <v>5000</v>
      </c>
      <c r="M227" s="183">
        <v>5000</v>
      </c>
      <c r="N227" s="183"/>
      <c r="O227" s="183">
        <v>5000</v>
      </c>
      <c r="P227" s="183">
        <v>5000</v>
      </c>
      <c r="Q227" s="183">
        <v>5000</v>
      </c>
      <c r="R227" s="472">
        <f t="shared" si="93"/>
        <v>0</v>
      </c>
      <c r="S227" s="472">
        <f t="shared" si="94"/>
        <v>0</v>
      </c>
      <c r="T227" s="472">
        <f t="shared" si="95"/>
        <v>0</v>
      </c>
      <c r="U227" s="182" t="s">
        <v>138</v>
      </c>
      <c r="V227" s="36" t="s">
        <v>108</v>
      </c>
      <c r="W227" s="37" t="s">
        <v>98</v>
      </c>
      <c r="X227" s="37" t="s">
        <v>124</v>
      </c>
      <c r="Y227" s="37" t="s">
        <v>609</v>
      </c>
      <c r="Z227" s="37" t="s">
        <v>140</v>
      </c>
      <c r="AA227" s="12" t="b">
        <f t="shared" si="97"/>
        <v>1</v>
      </c>
      <c r="AB227" s="12" t="b">
        <f t="shared" si="98"/>
        <v>1</v>
      </c>
      <c r="AC227" s="12" t="b">
        <f t="shared" si="99"/>
        <v>1</v>
      </c>
      <c r="AD227" s="12" t="b">
        <f t="shared" si="100"/>
        <v>1</v>
      </c>
      <c r="AE227" s="12" t="b">
        <f t="shared" si="101"/>
        <v>1</v>
      </c>
      <c r="AF227" s="12" t="b">
        <f t="shared" si="102"/>
        <v>1</v>
      </c>
    </row>
    <row r="228" spans="1:32" s="38" customFormat="1" ht="15.75" customHeight="1">
      <c r="A228" s="286"/>
      <c r="B228" s="182" t="s">
        <v>165</v>
      </c>
      <c r="C228" s="36" t="s">
        <v>108</v>
      </c>
      <c r="D228" s="37" t="s">
        <v>98</v>
      </c>
      <c r="E228" s="37" t="s">
        <v>124</v>
      </c>
      <c r="F228" s="37" t="s">
        <v>846</v>
      </c>
      <c r="G228" s="37" t="s">
        <v>90</v>
      </c>
      <c r="H228" s="183">
        <f>H229</f>
        <v>6744.42</v>
      </c>
      <c r="I228" s="183">
        <f>I229</f>
        <v>2484.42</v>
      </c>
      <c r="J228" s="183">
        <f>J229</f>
        <v>2484.42</v>
      </c>
      <c r="K228" s="183">
        <v>6744.42</v>
      </c>
      <c r="L228" s="183">
        <v>2484.42</v>
      </c>
      <c r="M228" s="183">
        <v>2484.42</v>
      </c>
      <c r="N228" s="183"/>
      <c r="O228" s="183">
        <v>6744.42</v>
      </c>
      <c r="P228" s="183">
        <v>2484.42</v>
      </c>
      <c r="Q228" s="183">
        <v>2484.42</v>
      </c>
      <c r="R228" s="472">
        <f t="shared" si="93"/>
        <v>0</v>
      </c>
      <c r="S228" s="472">
        <f t="shared" si="94"/>
        <v>0</v>
      </c>
      <c r="T228" s="472">
        <f t="shared" si="95"/>
        <v>0</v>
      </c>
      <c r="U228" s="182" t="s">
        <v>165</v>
      </c>
      <c r="V228" s="36" t="s">
        <v>108</v>
      </c>
      <c r="W228" s="37" t="s">
        <v>98</v>
      </c>
      <c r="X228" s="37" t="s">
        <v>124</v>
      </c>
      <c r="Y228" s="37" t="s">
        <v>846</v>
      </c>
      <c r="Z228" s="37" t="s">
        <v>90</v>
      </c>
      <c r="AA228" s="12" t="b">
        <f t="shared" si="97"/>
        <v>1</v>
      </c>
      <c r="AB228" s="12" t="b">
        <f t="shared" si="98"/>
        <v>1</v>
      </c>
      <c r="AC228" s="12" t="b">
        <f t="shared" si="99"/>
        <v>1</v>
      </c>
      <c r="AD228" s="12" t="b">
        <f t="shared" si="100"/>
        <v>1</v>
      </c>
      <c r="AE228" s="12" t="b">
        <f t="shared" si="101"/>
        <v>1</v>
      </c>
      <c r="AF228" s="12" t="b">
        <f t="shared" si="102"/>
        <v>1</v>
      </c>
    </row>
    <row r="229" spans="1:32" s="38" customFormat="1" ht="15.75" customHeight="1">
      <c r="A229" s="286"/>
      <c r="B229" s="182" t="s">
        <v>136</v>
      </c>
      <c r="C229" s="36" t="s">
        <v>108</v>
      </c>
      <c r="D229" s="37" t="s">
        <v>98</v>
      </c>
      <c r="E229" s="37" t="s">
        <v>124</v>
      </c>
      <c r="F229" s="37" t="s">
        <v>846</v>
      </c>
      <c r="G229" s="37" t="s">
        <v>166</v>
      </c>
      <c r="H229" s="183">
        <v>6744.42</v>
      </c>
      <c r="I229" s="183">
        <v>2484.42</v>
      </c>
      <c r="J229" s="183">
        <v>2484.42</v>
      </c>
      <c r="K229" s="183">
        <v>6744.42</v>
      </c>
      <c r="L229" s="183">
        <v>2484.42</v>
      </c>
      <c r="M229" s="183">
        <v>2484.42</v>
      </c>
      <c r="N229" s="183"/>
      <c r="O229" s="183">
        <v>6744.42</v>
      </c>
      <c r="P229" s="183">
        <v>2484.42</v>
      </c>
      <c r="Q229" s="183">
        <v>2484.42</v>
      </c>
      <c r="R229" s="472">
        <f t="shared" si="93"/>
        <v>0</v>
      </c>
      <c r="S229" s="472">
        <f t="shared" si="94"/>
        <v>0</v>
      </c>
      <c r="T229" s="472">
        <f t="shared" si="95"/>
        <v>0</v>
      </c>
      <c r="U229" s="182" t="s">
        <v>136</v>
      </c>
      <c r="V229" s="36" t="s">
        <v>108</v>
      </c>
      <c r="W229" s="37" t="s">
        <v>98</v>
      </c>
      <c r="X229" s="37" t="s">
        <v>124</v>
      </c>
      <c r="Y229" s="37" t="s">
        <v>846</v>
      </c>
      <c r="Z229" s="37" t="s">
        <v>166</v>
      </c>
      <c r="AA229" s="12" t="b">
        <f t="shared" si="97"/>
        <v>1</v>
      </c>
      <c r="AB229" s="12" t="b">
        <f t="shared" si="98"/>
        <v>1</v>
      </c>
      <c r="AC229" s="12" t="b">
        <f t="shared" si="99"/>
        <v>1</v>
      </c>
      <c r="AD229" s="12" t="b">
        <f t="shared" si="100"/>
        <v>1</v>
      </c>
      <c r="AE229" s="12" t="b">
        <f t="shared" si="101"/>
        <v>1</v>
      </c>
      <c r="AF229" s="12" t="b">
        <f t="shared" si="102"/>
        <v>1</v>
      </c>
    </row>
    <row r="230" spans="1:32" s="38" customFormat="1" ht="15.75" customHeight="1">
      <c r="A230" s="286"/>
      <c r="B230" s="28" t="s">
        <v>979</v>
      </c>
      <c r="C230" s="29" t="s">
        <v>108</v>
      </c>
      <c r="D230" s="30" t="s">
        <v>124</v>
      </c>
      <c r="E230" s="30" t="s">
        <v>83</v>
      </c>
      <c r="F230" s="30" t="s">
        <v>223</v>
      </c>
      <c r="G230" s="30" t="s">
        <v>90</v>
      </c>
      <c r="H230" s="31">
        <f t="shared" ref="H230:J235" si="109">H231</f>
        <v>254800</v>
      </c>
      <c r="I230" s="31">
        <f t="shared" si="109"/>
        <v>254800</v>
      </c>
      <c r="J230" s="31">
        <f t="shared" si="109"/>
        <v>254800</v>
      </c>
      <c r="K230" s="31">
        <v>254800</v>
      </c>
      <c r="L230" s="31">
        <v>254800</v>
      </c>
      <c r="M230" s="31">
        <v>254800</v>
      </c>
      <c r="N230" s="31"/>
      <c r="O230" s="31">
        <v>254800</v>
      </c>
      <c r="P230" s="31">
        <v>254800</v>
      </c>
      <c r="Q230" s="31">
        <v>254800</v>
      </c>
      <c r="R230" s="472">
        <f t="shared" si="93"/>
        <v>0</v>
      </c>
      <c r="S230" s="472">
        <f t="shared" si="94"/>
        <v>0</v>
      </c>
      <c r="T230" s="472">
        <f t="shared" si="95"/>
        <v>0</v>
      </c>
      <c r="U230" s="28" t="s">
        <v>979</v>
      </c>
      <c r="V230" s="29" t="s">
        <v>108</v>
      </c>
      <c r="W230" s="30" t="s">
        <v>124</v>
      </c>
      <c r="X230" s="30" t="s">
        <v>83</v>
      </c>
      <c r="Y230" s="30" t="s">
        <v>223</v>
      </c>
      <c r="Z230" s="30" t="s">
        <v>90</v>
      </c>
      <c r="AA230" s="12" t="b">
        <f t="shared" si="97"/>
        <v>1</v>
      </c>
      <c r="AB230" s="12" t="b">
        <f t="shared" si="98"/>
        <v>1</v>
      </c>
      <c r="AC230" s="12" t="b">
        <f t="shared" si="99"/>
        <v>1</v>
      </c>
      <c r="AD230" s="12" t="b">
        <f t="shared" si="100"/>
        <v>1</v>
      </c>
      <c r="AE230" s="12" t="b">
        <f t="shared" si="101"/>
        <v>1</v>
      </c>
      <c r="AF230" s="12" t="b">
        <f t="shared" si="102"/>
        <v>1</v>
      </c>
    </row>
    <row r="231" spans="1:32" s="38" customFormat="1" ht="15.75" customHeight="1">
      <c r="A231" s="286"/>
      <c r="B231" s="32" t="s">
        <v>980</v>
      </c>
      <c r="C231" s="33" t="s">
        <v>108</v>
      </c>
      <c r="D231" s="34" t="s">
        <v>124</v>
      </c>
      <c r="E231" s="34" t="s">
        <v>98</v>
      </c>
      <c r="F231" s="34" t="s">
        <v>223</v>
      </c>
      <c r="G231" s="34" t="s">
        <v>90</v>
      </c>
      <c r="H231" s="35">
        <f t="shared" si="109"/>
        <v>254800</v>
      </c>
      <c r="I231" s="35">
        <f t="shared" si="109"/>
        <v>254800</v>
      </c>
      <c r="J231" s="35">
        <f t="shared" si="109"/>
        <v>254800</v>
      </c>
      <c r="K231" s="35">
        <v>254800</v>
      </c>
      <c r="L231" s="35">
        <v>254800</v>
      </c>
      <c r="M231" s="35">
        <v>254800</v>
      </c>
      <c r="N231" s="35"/>
      <c r="O231" s="35">
        <v>254800</v>
      </c>
      <c r="P231" s="35">
        <v>254800</v>
      </c>
      <c r="Q231" s="35">
        <v>254800</v>
      </c>
      <c r="R231" s="472">
        <f t="shared" si="93"/>
        <v>0</v>
      </c>
      <c r="S231" s="472">
        <f t="shared" si="94"/>
        <v>0</v>
      </c>
      <c r="T231" s="472">
        <f t="shared" si="95"/>
        <v>0</v>
      </c>
      <c r="U231" s="32" t="s">
        <v>980</v>
      </c>
      <c r="V231" s="33" t="s">
        <v>108</v>
      </c>
      <c r="W231" s="34" t="s">
        <v>124</v>
      </c>
      <c r="X231" s="34" t="s">
        <v>98</v>
      </c>
      <c r="Y231" s="34" t="s">
        <v>223</v>
      </c>
      <c r="Z231" s="34" t="s">
        <v>90</v>
      </c>
      <c r="AA231" s="12" t="b">
        <f t="shared" si="97"/>
        <v>1</v>
      </c>
      <c r="AB231" s="12" t="b">
        <f t="shared" si="98"/>
        <v>1</v>
      </c>
      <c r="AC231" s="12" t="b">
        <f t="shared" si="99"/>
        <v>1</v>
      </c>
      <c r="AD231" s="12" t="b">
        <f t="shared" si="100"/>
        <v>1</v>
      </c>
      <c r="AE231" s="12" t="b">
        <f t="shared" si="101"/>
        <v>1</v>
      </c>
      <c r="AF231" s="12" t="b">
        <f t="shared" si="102"/>
        <v>1</v>
      </c>
    </row>
    <row r="232" spans="1:32" s="38" customFormat="1" ht="15.75" customHeight="1">
      <c r="A232" s="286"/>
      <c r="B232" s="22" t="s">
        <v>660</v>
      </c>
      <c r="C232" s="36" t="s">
        <v>108</v>
      </c>
      <c r="D232" s="37" t="s">
        <v>124</v>
      </c>
      <c r="E232" s="37" t="s">
        <v>98</v>
      </c>
      <c r="F232" s="37" t="s">
        <v>305</v>
      </c>
      <c r="G232" s="37" t="s">
        <v>90</v>
      </c>
      <c r="H232" s="183">
        <f t="shared" si="109"/>
        <v>254800</v>
      </c>
      <c r="I232" s="183">
        <f t="shared" si="109"/>
        <v>254800</v>
      </c>
      <c r="J232" s="183">
        <f t="shared" si="109"/>
        <v>254800</v>
      </c>
      <c r="K232" s="183">
        <v>254800</v>
      </c>
      <c r="L232" s="183">
        <v>254800</v>
      </c>
      <c r="M232" s="183">
        <v>254800</v>
      </c>
      <c r="N232" s="183"/>
      <c r="O232" s="183">
        <v>254800</v>
      </c>
      <c r="P232" s="183">
        <v>254800</v>
      </c>
      <c r="Q232" s="183">
        <v>254800</v>
      </c>
      <c r="R232" s="472">
        <f t="shared" si="93"/>
        <v>0</v>
      </c>
      <c r="S232" s="472">
        <f t="shared" si="94"/>
        <v>0</v>
      </c>
      <c r="T232" s="472">
        <f t="shared" si="95"/>
        <v>0</v>
      </c>
      <c r="U232" s="22" t="s">
        <v>660</v>
      </c>
      <c r="V232" s="36" t="s">
        <v>108</v>
      </c>
      <c r="W232" s="37" t="s">
        <v>124</v>
      </c>
      <c r="X232" s="37" t="s">
        <v>98</v>
      </c>
      <c r="Y232" s="37" t="s">
        <v>305</v>
      </c>
      <c r="Z232" s="37" t="s">
        <v>90</v>
      </c>
      <c r="AA232" s="12" t="b">
        <f t="shared" si="97"/>
        <v>1</v>
      </c>
      <c r="AB232" s="12" t="b">
        <f t="shared" si="98"/>
        <v>1</v>
      </c>
      <c r="AC232" s="12" t="b">
        <f t="shared" si="99"/>
        <v>1</v>
      </c>
      <c r="AD232" s="12" t="b">
        <f t="shared" si="100"/>
        <v>1</v>
      </c>
      <c r="AE232" s="12" t="b">
        <f t="shared" si="101"/>
        <v>1</v>
      </c>
      <c r="AF232" s="12" t="b">
        <f t="shared" si="102"/>
        <v>1</v>
      </c>
    </row>
    <row r="233" spans="1:32" s="38" customFormat="1" ht="15.75" customHeight="1">
      <c r="A233" s="286"/>
      <c r="B233" s="22" t="s">
        <v>661</v>
      </c>
      <c r="C233" s="36" t="s">
        <v>108</v>
      </c>
      <c r="D233" s="37" t="s">
        <v>124</v>
      </c>
      <c r="E233" s="37" t="s">
        <v>98</v>
      </c>
      <c r="F233" s="37" t="s">
        <v>306</v>
      </c>
      <c r="G233" s="37" t="s">
        <v>90</v>
      </c>
      <c r="H233" s="183">
        <f t="shared" si="109"/>
        <v>254800</v>
      </c>
      <c r="I233" s="183">
        <f t="shared" si="109"/>
        <v>254800</v>
      </c>
      <c r="J233" s="183">
        <f t="shared" si="109"/>
        <v>254800</v>
      </c>
      <c r="K233" s="183">
        <v>254800</v>
      </c>
      <c r="L233" s="183">
        <v>254800</v>
      </c>
      <c r="M233" s="183">
        <v>254800</v>
      </c>
      <c r="N233" s="183"/>
      <c r="O233" s="183">
        <v>254800</v>
      </c>
      <c r="P233" s="183">
        <v>254800</v>
      </c>
      <c r="Q233" s="183">
        <v>254800</v>
      </c>
      <c r="R233" s="472">
        <f t="shared" si="93"/>
        <v>0</v>
      </c>
      <c r="S233" s="472">
        <f t="shared" si="94"/>
        <v>0</v>
      </c>
      <c r="T233" s="472">
        <f t="shared" si="95"/>
        <v>0</v>
      </c>
      <c r="U233" s="22" t="s">
        <v>661</v>
      </c>
      <c r="V233" s="36" t="s">
        <v>108</v>
      </c>
      <c r="W233" s="37" t="s">
        <v>124</v>
      </c>
      <c r="X233" s="37" t="s">
        <v>98</v>
      </c>
      <c r="Y233" s="37" t="s">
        <v>306</v>
      </c>
      <c r="Z233" s="37" t="s">
        <v>90</v>
      </c>
      <c r="AA233" s="12" t="b">
        <f t="shared" si="97"/>
        <v>1</v>
      </c>
      <c r="AB233" s="12" t="b">
        <f t="shared" si="98"/>
        <v>1</v>
      </c>
      <c r="AC233" s="12" t="b">
        <f t="shared" si="99"/>
        <v>1</v>
      </c>
      <c r="AD233" s="12" t="b">
        <f t="shared" si="100"/>
        <v>1</v>
      </c>
      <c r="AE233" s="12" t="b">
        <f t="shared" si="101"/>
        <v>1</v>
      </c>
      <c r="AF233" s="12" t="b">
        <f t="shared" si="102"/>
        <v>1</v>
      </c>
    </row>
    <row r="234" spans="1:32" s="38" customFormat="1" ht="15.75" customHeight="1">
      <c r="A234" s="286"/>
      <c r="B234" s="178" t="s">
        <v>1017</v>
      </c>
      <c r="C234" s="36" t="s">
        <v>108</v>
      </c>
      <c r="D234" s="37" t="s">
        <v>124</v>
      </c>
      <c r="E234" s="37" t="s">
        <v>98</v>
      </c>
      <c r="F234" s="37" t="s">
        <v>801</v>
      </c>
      <c r="G234" s="37" t="s">
        <v>90</v>
      </c>
      <c r="H234" s="183">
        <f t="shared" si="109"/>
        <v>254800</v>
      </c>
      <c r="I234" s="183">
        <f t="shared" si="109"/>
        <v>254800</v>
      </c>
      <c r="J234" s="183">
        <f t="shared" si="109"/>
        <v>254800</v>
      </c>
      <c r="K234" s="183">
        <v>254800</v>
      </c>
      <c r="L234" s="183">
        <v>254800</v>
      </c>
      <c r="M234" s="183">
        <v>254800</v>
      </c>
      <c r="N234" s="183"/>
      <c r="O234" s="183">
        <v>254800</v>
      </c>
      <c r="P234" s="183">
        <v>254800</v>
      </c>
      <c r="Q234" s="183">
        <v>254800</v>
      </c>
      <c r="R234" s="472">
        <f t="shared" si="93"/>
        <v>0</v>
      </c>
      <c r="S234" s="472">
        <f t="shared" si="94"/>
        <v>0</v>
      </c>
      <c r="T234" s="472">
        <f t="shared" si="95"/>
        <v>0</v>
      </c>
      <c r="U234" s="178" t="s">
        <v>1017</v>
      </c>
      <c r="V234" s="36" t="s">
        <v>108</v>
      </c>
      <c r="W234" s="37" t="s">
        <v>124</v>
      </c>
      <c r="X234" s="37" t="s">
        <v>98</v>
      </c>
      <c r="Y234" s="37" t="s">
        <v>801</v>
      </c>
      <c r="Z234" s="37" t="s">
        <v>90</v>
      </c>
      <c r="AA234" s="12" t="b">
        <f t="shared" si="97"/>
        <v>1</v>
      </c>
      <c r="AB234" s="12" t="b">
        <f t="shared" si="98"/>
        <v>1</v>
      </c>
      <c r="AC234" s="12" t="b">
        <f t="shared" si="99"/>
        <v>1</v>
      </c>
      <c r="AD234" s="12" t="b">
        <f t="shared" si="100"/>
        <v>1</v>
      </c>
      <c r="AE234" s="12" t="b">
        <f t="shared" si="101"/>
        <v>1</v>
      </c>
      <c r="AF234" s="12" t="b">
        <f t="shared" si="102"/>
        <v>1</v>
      </c>
    </row>
    <row r="235" spans="1:32" s="38" customFormat="1" ht="15.75" customHeight="1">
      <c r="A235" s="286"/>
      <c r="B235" s="22" t="s">
        <v>135</v>
      </c>
      <c r="C235" s="36" t="s">
        <v>108</v>
      </c>
      <c r="D235" s="37" t="s">
        <v>124</v>
      </c>
      <c r="E235" s="37" t="s">
        <v>98</v>
      </c>
      <c r="F235" s="37" t="s">
        <v>847</v>
      </c>
      <c r="G235" s="37" t="s">
        <v>90</v>
      </c>
      <c r="H235" s="183">
        <f t="shared" si="109"/>
        <v>254800</v>
      </c>
      <c r="I235" s="183">
        <f t="shared" si="109"/>
        <v>254800</v>
      </c>
      <c r="J235" s="183">
        <f t="shared" si="109"/>
        <v>254800</v>
      </c>
      <c r="K235" s="183">
        <v>254800</v>
      </c>
      <c r="L235" s="183">
        <v>254800</v>
      </c>
      <c r="M235" s="183">
        <v>254800</v>
      </c>
      <c r="N235" s="183"/>
      <c r="O235" s="183">
        <v>254800</v>
      </c>
      <c r="P235" s="183">
        <v>254800</v>
      </c>
      <c r="Q235" s="183">
        <v>254800</v>
      </c>
      <c r="R235" s="472">
        <f t="shared" si="93"/>
        <v>0</v>
      </c>
      <c r="S235" s="472">
        <f t="shared" si="94"/>
        <v>0</v>
      </c>
      <c r="T235" s="472">
        <f t="shared" si="95"/>
        <v>0</v>
      </c>
      <c r="U235" s="22" t="s">
        <v>135</v>
      </c>
      <c r="V235" s="36" t="s">
        <v>108</v>
      </c>
      <c r="W235" s="37" t="s">
        <v>124</v>
      </c>
      <c r="X235" s="37" t="s">
        <v>98</v>
      </c>
      <c r="Y235" s="37" t="s">
        <v>847</v>
      </c>
      <c r="Z235" s="37" t="s">
        <v>90</v>
      </c>
      <c r="AA235" s="12" t="b">
        <f t="shared" si="97"/>
        <v>1</v>
      </c>
      <c r="AB235" s="12" t="b">
        <f t="shared" si="98"/>
        <v>1</v>
      </c>
      <c r="AC235" s="12" t="b">
        <f t="shared" si="99"/>
        <v>1</v>
      </c>
      <c r="AD235" s="12" t="b">
        <f t="shared" si="100"/>
        <v>1</v>
      </c>
      <c r="AE235" s="12" t="b">
        <f t="shared" si="101"/>
        <v>1</v>
      </c>
      <c r="AF235" s="12" t="b">
        <f t="shared" si="102"/>
        <v>1</v>
      </c>
    </row>
    <row r="236" spans="1:32" s="38" customFormat="1" ht="15.75" customHeight="1">
      <c r="A236" s="286"/>
      <c r="B236" s="182" t="s">
        <v>134</v>
      </c>
      <c r="C236" s="36" t="s">
        <v>108</v>
      </c>
      <c r="D236" s="37" t="s">
        <v>124</v>
      </c>
      <c r="E236" s="37" t="s">
        <v>98</v>
      </c>
      <c r="F236" s="37" t="s">
        <v>847</v>
      </c>
      <c r="G236" s="37" t="s">
        <v>167</v>
      </c>
      <c r="H236" s="183">
        <v>254800</v>
      </c>
      <c r="I236" s="183">
        <v>254800</v>
      </c>
      <c r="J236" s="183">
        <v>254800</v>
      </c>
      <c r="K236" s="183">
        <v>254800</v>
      </c>
      <c r="L236" s="183">
        <v>254800</v>
      </c>
      <c r="M236" s="183">
        <v>254800</v>
      </c>
      <c r="N236" s="183"/>
      <c r="O236" s="183">
        <v>254800</v>
      </c>
      <c r="P236" s="183">
        <v>254800</v>
      </c>
      <c r="Q236" s="183">
        <v>254800</v>
      </c>
      <c r="R236" s="472">
        <f t="shared" si="93"/>
        <v>0</v>
      </c>
      <c r="S236" s="472">
        <f t="shared" si="94"/>
        <v>0</v>
      </c>
      <c r="T236" s="472">
        <f t="shared" si="95"/>
        <v>0</v>
      </c>
      <c r="U236" s="182" t="s">
        <v>134</v>
      </c>
      <c r="V236" s="36" t="s">
        <v>108</v>
      </c>
      <c r="W236" s="37" t="s">
        <v>124</v>
      </c>
      <c r="X236" s="37" t="s">
        <v>98</v>
      </c>
      <c r="Y236" s="37" t="s">
        <v>847</v>
      </c>
      <c r="Z236" s="37" t="s">
        <v>167</v>
      </c>
      <c r="AA236" s="12" t="b">
        <f t="shared" si="97"/>
        <v>1</v>
      </c>
      <c r="AB236" s="12" t="b">
        <f t="shared" si="98"/>
        <v>1</v>
      </c>
      <c r="AC236" s="12" t="b">
        <f t="shared" si="99"/>
        <v>1</v>
      </c>
      <c r="AD236" s="12" t="b">
        <f t="shared" si="100"/>
        <v>1</v>
      </c>
      <c r="AE236" s="12" t="b">
        <f t="shared" si="101"/>
        <v>1</v>
      </c>
      <c r="AF236" s="12" t="b">
        <f t="shared" si="102"/>
        <v>1</v>
      </c>
    </row>
    <row r="237" spans="1:32" s="38" customFormat="1" ht="15.75" customHeight="1">
      <c r="A237" s="286"/>
      <c r="B237" s="182"/>
      <c r="C237" s="36"/>
      <c r="D237" s="37"/>
      <c r="E237" s="37"/>
      <c r="F237" s="37"/>
      <c r="G237" s="37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472">
        <f t="shared" si="93"/>
        <v>0</v>
      </c>
      <c r="S237" s="472">
        <f t="shared" si="94"/>
        <v>0</v>
      </c>
      <c r="T237" s="472">
        <f t="shared" si="95"/>
        <v>0</v>
      </c>
      <c r="U237" s="182"/>
      <c r="V237" s="36"/>
      <c r="W237" s="37"/>
      <c r="X237" s="37"/>
      <c r="Y237" s="37"/>
      <c r="Z237" s="37"/>
      <c r="AA237" s="12" t="b">
        <f t="shared" si="97"/>
        <v>1</v>
      </c>
      <c r="AB237" s="12" t="b">
        <f t="shared" si="98"/>
        <v>1</v>
      </c>
      <c r="AC237" s="12" t="b">
        <f t="shared" si="99"/>
        <v>1</v>
      </c>
      <c r="AD237" s="12" t="b">
        <f t="shared" si="100"/>
        <v>1</v>
      </c>
      <c r="AE237" s="12" t="b">
        <f t="shared" si="101"/>
        <v>1</v>
      </c>
      <c r="AF237" s="12" t="b">
        <f t="shared" si="102"/>
        <v>1</v>
      </c>
    </row>
    <row r="238" spans="1:32" s="12" customFormat="1" ht="15.75" customHeight="1">
      <c r="A238" s="285"/>
      <c r="B238" s="42" t="s">
        <v>1014</v>
      </c>
      <c r="C238" s="25" t="s">
        <v>101</v>
      </c>
      <c r="D238" s="26" t="s">
        <v>83</v>
      </c>
      <c r="E238" s="26" t="s">
        <v>83</v>
      </c>
      <c r="F238" s="26" t="s">
        <v>223</v>
      </c>
      <c r="G238" s="26" t="s">
        <v>90</v>
      </c>
      <c r="H238" s="43">
        <f>H239+H310+H303+H279</f>
        <v>174042.74</v>
      </c>
      <c r="I238" s="43">
        <f>I239+I310+I303+I279</f>
        <v>174246.50999999998</v>
      </c>
      <c r="J238" s="43">
        <f>J239+J310+J303+J279</f>
        <v>174458.76</v>
      </c>
      <c r="K238" s="43">
        <v>174042.74</v>
      </c>
      <c r="L238" s="43">
        <v>174246.50999999998</v>
      </c>
      <c r="M238" s="43">
        <v>174458.76</v>
      </c>
      <c r="N238" s="43"/>
      <c r="O238" s="43">
        <v>174017.31</v>
      </c>
      <c r="P238" s="43">
        <v>174221.08</v>
      </c>
      <c r="Q238" s="43">
        <v>174433.33</v>
      </c>
      <c r="R238" s="472">
        <f t="shared" si="93"/>
        <v>25.429999999993015</v>
      </c>
      <c r="S238" s="472">
        <f t="shared" si="94"/>
        <v>25.429999999993015</v>
      </c>
      <c r="T238" s="472">
        <f t="shared" si="95"/>
        <v>25.430000000022119</v>
      </c>
      <c r="U238" s="42" t="s">
        <v>1014</v>
      </c>
      <c r="V238" s="25" t="s">
        <v>101</v>
      </c>
      <c r="W238" s="26" t="s">
        <v>83</v>
      </c>
      <c r="X238" s="26" t="s">
        <v>83</v>
      </c>
      <c r="Y238" s="26" t="s">
        <v>223</v>
      </c>
      <c r="Z238" s="26" t="s">
        <v>90</v>
      </c>
      <c r="AA238" s="12" t="b">
        <f t="shared" si="97"/>
        <v>1</v>
      </c>
      <c r="AB238" s="12" t="b">
        <f t="shared" si="98"/>
        <v>1</v>
      </c>
      <c r="AC238" s="12" t="b">
        <f t="shared" si="99"/>
        <v>1</v>
      </c>
      <c r="AD238" s="12" t="b">
        <f t="shared" si="100"/>
        <v>1</v>
      </c>
      <c r="AE238" s="12" t="b">
        <f t="shared" si="101"/>
        <v>1</v>
      </c>
      <c r="AF238" s="12" t="b">
        <f t="shared" si="102"/>
        <v>1</v>
      </c>
    </row>
    <row r="239" spans="1:32" s="41" customFormat="1" ht="15.75" customHeight="1">
      <c r="A239" s="287"/>
      <c r="B239" s="28" t="s">
        <v>97</v>
      </c>
      <c r="C239" s="29" t="s">
        <v>101</v>
      </c>
      <c r="D239" s="30" t="s">
        <v>98</v>
      </c>
      <c r="E239" s="30" t="s">
        <v>83</v>
      </c>
      <c r="F239" s="30" t="s">
        <v>223</v>
      </c>
      <c r="G239" s="30" t="s">
        <v>90</v>
      </c>
      <c r="H239" s="31">
        <f>H240</f>
        <v>163987.22999999998</v>
      </c>
      <c r="I239" s="31">
        <f>I240</f>
        <v>164190.99999999997</v>
      </c>
      <c r="J239" s="31">
        <f>J240</f>
        <v>164403.25</v>
      </c>
      <c r="K239" s="31">
        <v>163987.22999999998</v>
      </c>
      <c r="L239" s="31">
        <v>164190.99999999997</v>
      </c>
      <c r="M239" s="31">
        <v>164403.25</v>
      </c>
      <c r="N239" s="31"/>
      <c r="O239" s="31">
        <v>163961.79999999999</v>
      </c>
      <c r="P239" s="31">
        <v>164165.56999999998</v>
      </c>
      <c r="Q239" s="31">
        <v>164377.81999999998</v>
      </c>
      <c r="R239" s="472">
        <f t="shared" si="93"/>
        <v>25.429999999993015</v>
      </c>
      <c r="S239" s="472">
        <f t="shared" si="94"/>
        <v>25.429999999993015</v>
      </c>
      <c r="T239" s="472">
        <f t="shared" si="95"/>
        <v>25.430000000022119</v>
      </c>
      <c r="U239" s="28" t="s">
        <v>97</v>
      </c>
      <c r="V239" s="29" t="s">
        <v>101</v>
      </c>
      <c r="W239" s="30" t="s">
        <v>98</v>
      </c>
      <c r="X239" s="30" t="s">
        <v>83</v>
      </c>
      <c r="Y239" s="30" t="s">
        <v>223</v>
      </c>
      <c r="Z239" s="30" t="s">
        <v>90</v>
      </c>
      <c r="AA239" s="12" t="b">
        <f t="shared" si="97"/>
        <v>1</v>
      </c>
      <c r="AB239" s="12" t="b">
        <f t="shared" si="98"/>
        <v>1</v>
      </c>
      <c r="AC239" s="12" t="b">
        <f t="shared" si="99"/>
        <v>1</v>
      </c>
      <c r="AD239" s="12" t="b">
        <f t="shared" si="100"/>
        <v>1</v>
      </c>
      <c r="AE239" s="12" t="b">
        <f t="shared" si="101"/>
        <v>1</v>
      </c>
      <c r="AF239" s="12" t="b">
        <f t="shared" si="102"/>
        <v>1</v>
      </c>
    </row>
    <row r="240" spans="1:32" s="13" customFormat="1" ht="15.75" customHeight="1">
      <c r="A240" s="288"/>
      <c r="B240" s="32" t="s">
        <v>70</v>
      </c>
      <c r="C240" s="33" t="s">
        <v>101</v>
      </c>
      <c r="D240" s="34" t="s">
        <v>98</v>
      </c>
      <c r="E240" s="34" t="s">
        <v>124</v>
      </c>
      <c r="F240" s="34" t="s">
        <v>223</v>
      </c>
      <c r="G240" s="34" t="s">
        <v>90</v>
      </c>
      <c r="H240" s="35">
        <f>H267+H262+H246+H275+H245</f>
        <v>163987.22999999998</v>
      </c>
      <c r="I240" s="35">
        <f>I267+I262+I246+I275+I245</f>
        <v>164190.99999999997</v>
      </c>
      <c r="J240" s="35">
        <f>J267+J262+J246+J275+J245</f>
        <v>164403.25</v>
      </c>
      <c r="K240" s="35">
        <v>163987.22999999998</v>
      </c>
      <c r="L240" s="35">
        <v>164190.99999999997</v>
      </c>
      <c r="M240" s="35">
        <v>164403.25</v>
      </c>
      <c r="N240" s="35"/>
      <c r="O240" s="35">
        <v>163961.79999999999</v>
      </c>
      <c r="P240" s="35">
        <v>164165.56999999998</v>
      </c>
      <c r="Q240" s="35">
        <v>164377.81999999998</v>
      </c>
      <c r="R240" s="472">
        <f t="shared" si="93"/>
        <v>25.429999999993015</v>
      </c>
      <c r="S240" s="472">
        <f t="shared" si="94"/>
        <v>25.429999999993015</v>
      </c>
      <c r="T240" s="472">
        <f t="shared" si="95"/>
        <v>25.430000000022119</v>
      </c>
      <c r="U240" s="32" t="s">
        <v>70</v>
      </c>
      <c r="V240" s="33" t="s">
        <v>101</v>
      </c>
      <c r="W240" s="34" t="s">
        <v>98</v>
      </c>
      <c r="X240" s="34" t="s">
        <v>124</v>
      </c>
      <c r="Y240" s="34" t="s">
        <v>223</v>
      </c>
      <c r="Z240" s="34" t="s">
        <v>90</v>
      </c>
      <c r="AA240" s="12" t="b">
        <f t="shared" si="97"/>
        <v>1</v>
      </c>
      <c r="AB240" s="12" t="b">
        <f t="shared" si="98"/>
        <v>1</v>
      </c>
      <c r="AC240" s="12" t="b">
        <f t="shared" si="99"/>
        <v>1</v>
      </c>
      <c r="AD240" s="12" t="b">
        <f t="shared" si="100"/>
        <v>1</v>
      </c>
      <c r="AE240" s="12" t="b">
        <f t="shared" si="101"/>
        <v>1</v>
      </c>
      <c r="AF240" s="12" t="b">
        <f t="shared" si="102"/>
        <v>1</v>
      </c>
    </row>
    <row r="241" spans="1:32" s="13" customFormat="1" ht="15.75" customHeight="1">
      <c r="A241" s="288"/>
      <c r="B241" s="23" t="s">
        <v>662</v>
      </c>
      <c r="C241" s="36" t="s">
        <v>101</v>
      </c>
      <c r="D241" s="37" t="s">
        <v>98</v>
      </c>
      <c r="E241" s="37" t="s">
        <v>124</v>
      </c>
      <c r="F241" s="37" t="s">
        <v>282</v>
      </c>
      <c r="G241" s="37" t="s">
        <v>90</v>
      </c>
      <c r="H241" s="183">
        <f t="shared" ref="H241:J244" si="110">H242</f>
        <v>103.8</v>
      </c>
      <c r="I241" s="183">
        <f t="shared" si="110"/>
        <v>103.8</v>
      </c>
      <c r="J241" s="183">
        <f t="shared" si="110"/>
        <v>103.8</v>
      </c>
      <c r="K241" s="183">
        <v>103.8</v>
      </c>
      <c r="L241" s="183">
        <v>103.8</v>
      </c>
      <c r="M241" s="183">
        <v>103.8</v>
      </c>
      <c r="N241" s="183"/>
      <c r="O241" s="35">
        <v>103.8</v>
      </c>
      <c r="P241" s="35">
        <v>103.8</v>
      </c>
      <c r="Q241" s="35">
        <v>103.8</v>
      </c>
      <c r="R241" s="472">
        <f t="shared" si="93"/>
        <v>0</v>
      </c>
      <c r="S241" s="472">
        <f t="shared" si="94"/>
        <v>0</v>
      </c>
      <c r="T241" s="472">
        <f t="shared" si="95"/>
        <v>0</v>
      </c>
      <c r="U241" s="23" t="s">
        <v>662</v>
      </c>
      <c r="V241" s="36" t="s">
        <v>101</v>
      </c>
      <c r="W241" s="37" t="s">
        <v>98</v>
      </c>
      <c r="X241" s="37" t="s">
        <v>124</v>
      </c>
      <c r="Y241" s="37" t="s">
        <v>282</v>
      </c>
      <c r="Z241" s="37" t="s">
        <v>90</v>
      </c>
      <c r="AA241" s="12" t="b">
        <f t="shared" si="97"/>
        <v>1</v>
      </c>
      <c r="AB241" s="12" t="b">
        <f t="shared" si="98"/>
        <v>1</v>
      </c>
      <c r="AC241" s="12" t="b">
        <f t="shared" si="99"/>
        <v>1</v>
      </c>
      <c r="AD241" s="12" t="b">
        <f t="shared" si="100"/>
        <v>1</v>
      </c>
      <c r="AE241" s="12" t="b">
        <f t="shared" si="101"/>
        <v>1</v>
      </c>
      <c r="AF241" s="12" t="b">
        <f t="shared" si="102"/>
        <v>1</v>
      </c>
    </row>
    <row r="242" spans="1:32" s="13" customFormat="1" ht="15.75" customHeight="1">
      <c r="A242" s="288"/>
      <c r="B242" s="23" t="s">
        <v>663</v>
      </c>
      <c r="C242" s="36" t="s">
        <v>101</v>
      </c>
      <c r="D242" s="37" t="s">
        <v>98</v>
      </c>
      <c r="E242" s="37" t="s">
        <v>124</v>
      </c>
      <c r="F242" s="37" t="s">
        <v>283</v>
      </c>
      <c r="G242" s="37" t="s">
        <v>90</v>
      </c>
      <c r="H242" s="183">
        <f t="shared" si="110"/>
        <v>103.8</v>
      </c>
      <c r="I242" s="183">
        <f t="shared" si="110"/>
        <v>103.8</v>
      </c>
      <c r="J242" s="183">
        <f t="shared" si="110"/>
        <v>103.8</v>
      </c>
      <c r="K242" s="183">
        <v>103.8</v>
      </c>
      <c r="L242" s="183">
        <v>103.8</v>
      </c>
      <c r="M242" s="183">
        <v>103.8</v>
      </c>
      <c r="N242" s="183"/>
      <c r="O242" s="35">
        <v>103.8</v>
      </c>
      <c r="P242" s="35">
        <v>103.8</v>
      </c>
      <c r="Q242" s="35">
        <v>103.8</v>
      </c>
      <c r="R242" s="472">
        <f t="shared" si="93"/>
        <v>0</v>
      </c>
      <c r="S242" s="472">
        <f t="shared" si="94"/>
        <v>0</v>
      </c>
      <c r="T242" s="472">
        <f t="shared" si="95"/>
        <v>0</v>
      </c>
      <c r="U242" s="23" t="s">
        <v>663</v>
      </c>
      <c r="V242" s="36" t="s">
        <v>101</v>
      </c>
      <c r="W242" s="37" t="s">
        <v>98</v>
      </c>
      <c r="X242" s="37" t="s">
        <v>124</v>
      </c>
      <c r="Y242" s="37" t="s">
        <v>283</v>
      </c>
      <c r="Z242" s="37" t="s">
        <v>90</v>
      </c>
      <c r="AA242" s="12" t="b">
        <f t="shared" si="97"/>
        <v>1</v>
      </c>
      <c r="AB242" s="12" t="b">
        <f t="shared" si="98"/>
        <v>1</v>
      </c>
      <c r="AC242" s="12" t="b">
        <f t="shared" si="99"/>
        <v>1</v>
      </c>
      <c r="AD242" s="12" t="b">
        <f t="shared" si="100"/>
        <v>1</v>
      </c>
      <c r="AE242" s="12" t="b">
        <f t="shared" si="101"/>
        <v>1</v>
      </c>
      <c r="AF242" s="12" t="b">
        <f t="shared" si="102"/>
        <v>1</v>
      </c>
    </row>
    <row r="243" spans="1:32" s="13" customFormat="1" ht="15.75" customHeight="1">
      <c r="A243" s="288"/>
      <c r="B243" s="182" t="s">
        <v>284</v>
      </c>
      <c r="C243" s="36" t="s">
        <v>101</v>
      </c>
      <c r="D243" s="37" t="s">
        <v>98</v>
      </c>
      <c r="E243" s="37" t="s">
        <v>124</v>
      </c>
      <c r="F243" s="37" t="s">
        <v>287</v>
      </c>
      <c r="G243" s="37" t="s">
        <v>90</v>
      </c>
      <c r="H243" s="183">
        <f t="shared" si="110"/>
        <v>103.8</v>
      </c>
      <c r="I243" s="183">
        <f t="shared" si="110"/>
        <v>103.8</v>
      </c>
      <c r="J243" s="183">
        <f t="shared" si="110"/>
        <v>103.8</v>
      </c>
      <c r="K243" s="183">
        <v>103.8</v>
      </c>
      <c r="L243" s="183">
        <v>103.8</v>
      </c>
      <c r="M243" s="183">
        <v>103.8</v>
      </c>
      <c r="N243" s="183"/>
      <c r="O243" s="35">
        <v>103.8</v>
      </c>
      <c r="P243" s="35">
        <v>103.8</v>
      </c>
      <c r="Q243" s="35">
        <v>103.8</v>
      </c>
      <c r="R243" s="472">
        <f t="shared" si="93"/>
        <v>0</v>
      </c>
      <c r="S243" s="472">
        <f t="shared" si="94"/>
        <v>0</v>
      </c>
      <c r="T243" s="472">
        <f t="shared" si="95"/>
        <v>0</v>
      </c>
      <c r="U243" s="182" t="s">
        <v>284</v>
      </c>
      <c r="V243" s="36" t="s">
        <v>101</v>
      </c>
      <c r="W243" s="37" t="s">
        <v>98</v>
      </c>
      <c r="X243" s="37" t="s">
        <v>124</v>
      </c>
      <c r="Y243" s="37" t="s">
        <v>287</v>
      </c>
      <c r="Z243" s="37" t="s">
        <v>90</v>
      </c>
      <c r="AA243" s="12" t="b">
        <f t="shared" si="97"/>
        <v>1</v>
      </c>
      <c r="AB243" s="12" t="b">
        <f t="shared" si="98"/>
        <v>1</v>
      </c>
      <c r="AC243" s="12" t="b">
        <f t="shared" si="99"/>
        <v>1</v>
      </c>
      <c r="AD243" s="12" t="b">
        <f t="shared" si="100"/>
        <v>1</v>
      </c>
      <c r="AE243" s="12" t="b">
        <f t="shared" si="101"/>
        <v>1</v>
      </c>
      <c r="AF243" s="12" t="b">
        <f t="shared" si="102"/>
        <v>1</v>
      </c>
    </row>
    <row r="244" spans="1:32" s="13" customFormat="1" ht="15.75" customHeight="1">
      <c r="A244" s="288"/>
      <c r="B244" s="182" t="s">
        <v>739</v>
      </c>
      <c r="C244" s="36" t="s">
        <v>101</v>
      </c>
      <c r="D244" s="37" t="s">
        <v>98</v>
      </c>
      <c r="E244" s="37" t="s">
        <v>124</v>
      </c>
      <c r="F244" s="37" t="s">
        <v>955</v>
      </c>
      <c r="G244" s="37" t="s">
        <v>90</v>
      </c>
      <c r="H244" s="183">
        <f t="shared" si="110"/>
        <v>103.8</v>
      </c>
      <c r="I244" s="183">
        <f t="shared" si="110"/>
        <v>103.8</v>
      </c>
      <c r="J244" s="183">
        <f t="shared" si="110"/>
        <v>103.8</v>
      </c>
      <c r="K244" s="183">
        <v>103.8</v>
      </c>
      <c r="L244" s="183">
        <v>103.8</v>
      </c>
      <c r="M244" s="183">
        <v>103.8</v>
      </c>
      <c r="N244" s="183"/>
      <c r="O244" s="35">
        <v>103.8</v>
      </c>
      <c r="P244" s="35">
        <v>103.8</v>
      </c>
      <c r="Q244" s="35">
        <v>103.8</v>
      </c>
      <c r="R244" s="472">
        <f t="shared" si="93"/>
        <v>0</v>
      </c>
      <c r="S244" s="472">
        <f t="shared" si="94"/>
        <v>0</v>
      </c>
      <c r="T244" s="472">
        <f t="shared" si="95"/>
        <v>0</v>
      </c>
      <c r="U244" s="182" t="s">
        <v>739</v>
      </c>
      <c r="V244" s="36" t="s">
        <v>101</v>
      </c>
      <c r="W244" s="37" t="s">
        <v>98</v>
      </c>
      <c r="X244" s="37" t="s">
        <v>124</v>
      </c>
      <c r="Y244" s="37" t="s">
        <v>955</v>
      </c>
      <c r="Z244" s="37" t="s">
        <v>90</v>
      </c>
      <c r="AA244" s="12" t="b">
        <f t="shared" si="97"/>
        <v>1</v>
      </c>
      <c r="AB244" s="12" t="b">
        <f t="shared" si="98"/>
        <v>1</v>
      </c>
      <c r="AC244" s="12" t="b">
        <f t="shared" si="99"/>
        <v>1</v>
      </c>
      <c r="AD244" s="12" t="b">
        <f t="shared" si="100"/>
        <v>1</v>
      </c>
      <c r="AE244" s="12" t="b">
        <f t="shared" si="101"/>
        <v>1</v>
      </c>
      <c r="AF244" s="12" t="b">
        <f t="shared" si="102"/>
        <v>1</v>
      </c>
    </row>
    <row r="245" spans="1:32" s="13" customFormat="1" ht="15.75" customHeight="1">
      <c r="A245" s="288"/>
      <c r="B245" s="182" t="s">
        <v>145</v>
      </c>
      <c r="C245" s="36" t="s">
        <v>101</v>
      </c>
      <c r="D245" s="37" t="s">
        <v>98</v>
      </c>
      <c r="E245" s="37" t="s">
        <v>124</v>
      </c>
      <c r="F245" s="37" t="s">
        <v>955</v>
      </c>
      <c r="G245" s="37" t="s">
        <v>153</v>
      </c>
      <c r="H245" s="183">
        <v>103.8</v>
      </c>
      <c r="I245" s="183">
        <v>103.8</v>
      </c>
      <c r="J245" s="183">
        <v>103.8</v>
      </c>
      <c r="K245" s="183">
        <v>103.8</v>
      </c>
      <c r="L245" s="183">
        <v>103.8</v>
      </c>
      <c r="M245" s="183">
        <v>103.8</v>
      </c>
      <c r="N245" s="183"/>
      <c r="O245" s="35">
        <v>103.8</v>
      </c>
      <c r="P245" s="35">
        <v>103.8</v>
      </c>
      <c r="Q245" s="35">
        <v>103.8</v>
      </c>
      <c r="R245" s="472">
        <f t="shared" si="93"/>
        <v>0</v>
      </c>
      <c r="S245" s="472">
        <f t="shared" si="94"/>
        <v>0</v>
      </c>
      <c r="T245" s="472">
        <f t="shared" si="95"/>
        <v>0</v>
      </c>
      <c r="U245" s="182" t="s">
        <v>145</v>
      </c>
      <c r="V245" s="36" t="s">
        <v>101</v>
      </c>
      <c r="W245" s="37" t="s">
        <v>98</v>
      </c>
      <c r="X245" s="37" t="s">
        <v>124</v>
      </c>
      <c r="Y245" s="37" t="s">
        <v>955</v>
      </c>
      <c r="Z245" s="37" t="s">
        <v>153</v>
      </c>
      <c r="AA245" s="12" t="b">
        <f t="shared" si="97"/>
        <v>1</v>
      </c>
      <c r="AB245" s="12" t="b">
        <f t="shared" si="98"/>
        <v>1</v>
      </c>
      <c r="AC245" s="12" t="b">
        <f t="shared" si="99"/>
        <v>1</v>
      </c>
      <c r="AD245" s="12" t="b">
        <f t="shared" si="100"/>
        <v>1</v>
      </c>
      <c r="AE245" s="12" t="b">
        <f t="shared" si="101"/>
        <v>1</v>
      </c>
      <c r="AF245" s="12" t="b">
        <f t="shared" si="102"/>
        <v>1</v>
      </c>
    </row>
    <row r="246" spans="1:32" s="12" customFormat="1" ht="15.75" customHeight="1">
      <c r="A246" s="285"/>
      <c r="B246" s="182" t="s">
        <v>664</v>
      </c>
      <c r="C246" s="36" t="s">
        <v>101</v>
      </c>
      <c r="D246" s="37" t="s">
        <v>98</v>
      </c>
      <c r="E246" s="37" t="s">
        <v>124</v>
      </c>
      <c r="F246" s="37" t="s">
        <v>241</v>
      </c>
      <c r="G246" s="37" t="s">
        <v>90</v>
      </c>
      <c r="H246" s="183">
        <f>H247</f>
        <v>111153.89</v>
      </c>
      <c r="I246" s="183">
        <f>I247</f>
        <v>111326.17</v>
      </c>
      <c r="J246" s="183">
        <f>J247</f>
        <v>111505.36</v>
      </c>
      <c r="K246" s="183">
        <v>111153.89</v>
      </c>
      <c r="L246" s="183">
        <v>111326.17</v>
      </c>
      <c r="M246" s="183">
        <v>111505.36</v>
      </c>
      <c r="N246" s="183"/>
      <c r="O246" s="183">
        <v>111153.89</v>
      </c>
      <c r="P246" s="183">
        <v>111326.17</v>
      </c>
      <c r="Q246" s="183">
        <v>111505.36</v>
      </c>
      <c r="R246" s="472">
        <f t="shared" si="93"/>
        <v>0</v>
      </c>
      <c r="S246" s="472">
        <f t="shared" si="94"/>
        <v>0</v>
      </c>
      <c r="T246" s="472">
        <f t="shared" si="95"/>
        <v>0</v>
      </c>
      <c r="U246" s="182" t="s">
        <v>664</v>
      </c>
      <c r="V246" s="36" t="s">
        <v>101</v>
      </c>
      <c r="W246" s="37" t="s">
        <v>98</v>
      </c>
      <c r="X246" s="37" t="s">
        <v>124</v>
      </c>
      <c r="Y246" s="37" t="s">
        <v>241</v>
      </c>
      <c r="Z246" s="37" t="s">
        <v>90</v>
      </c>
      <c r="AA246" s="12" t="b">
        <f t="shared" si="97"/>
        <v>1</v>
      </c>
      <c r="AB246" s="12" t="b">
        <f t="shared" si="98"/>
        <v>1</v>
      </c>
      <c r="AC246" s="12" t="b">
        <f t="shared" si="99"/>
        <v>1</v>
      </c>
      <c r="AD246" s="12" t="b">
        <f t="shared" si="100"/>
        <v>1</v>
      </c>
      <c r="AE246" s="12" t="b">
        <f t="shared" si="101"/>
        <v>1</v>
      </c>
      <c r="AF246" s="12" t="b">
        <f t="shared" si="102"/>
        <v>1</v>
      </c>
    </row>
    <row r="247" spans="1:32" s="12" customFormat="1" ht="15.75" customHeight="1">
      <c r="A247" s="285"/>
      <c r="B247" s="182" t="s">
        <v>933</v>
      </c>
      <c r="C247" s="36" t="s">
        <v>101</v>
      </c>
      <c r="D247" s="37" t="s">
        <v>98</v>
      </c>
      <c r="E247" s="37" t="s">
        <v>124</v>
      </c>
      <c r="F247" s="37" t="s">
        <v>1035</v>
      </c>
      <c r="G247" s="37" t="s">
        <v>90</v>
      </c>
      <c r="H247" s="183">
        <f>H248+H251+H257+H254</f>
        <v>111153.89</v>
      </c>
      <c r="I247" s="183">
        <f>I248+I251+I257+I254</f>
        <v>111326.17</v>
      </c>
      <c r="J247" s="183">
        <f>J248+J251+J257+J254</f>
        <v>111505.36</v>
      </c>
      <c r="K247" s="183">
        <v>111153.89</v>
      </c>
      <c r="L247" s="183">
        <v>111326.17</v>
      </c>
      <c r="M247" s="183">
        <v>111505.36</v>
      </c>
      <c r="N247" s="183"/>
      <c r="O247" s="183">
        <v>111153.89</v>
      </c>
      <c r="P247" s="183">
        <v>111326.17</v>
      </c>
      <c r="Q247" s="183">
        <v>111505.36</v>
      </c>
      <c r="R247" s="472">
        <f t="shared" si="93"/>
        <v>0</v>
      </c>
      <c r="S247" s="472">
        <f t="shared" si="94"/>
        <v>0</v>
      </c>
      <c r="T247" s="472">
        <f t="shared" si="95"/>
        <v>0</v>
      </c>
      <c r="U247" s="182" t="s">
        <v>933</v>
      </c>
      <c r="V247" s="36" t="s">
        <v>101</v>
      </c>
      <c r="W247" s="37" t="s">
        <v>98</v>
      </c>
      <c r="X247" s="37" t="s">
        <v>124</v>
      </c>
      <c r="Y247" s="37" t="s">
        <v>1035</v>
      </c>
      <c r="Z247" s="37" t="s">
        <v>90</v>
      </c>
      <c r="AA247" s="12" t="b">
        <f t="shared" si="97"/>
        <v>1</v>
      </c>
      <c r="AB247" s="12" t="b">
        <f t="shared" si="98"/>
        <v>1</v>
      </c>
      <c r="AC247" s="12" t="b">
        <f t="shared" si="99"/>
        <v>1</v>
      </c>
      <c r="AD247" s="12" t="b">
        <f t="shared" si="100"/>
        <v>1</v>
      </c>
      <c r="AE247" s="12" t="b">
        <f t="shared" si="101"/>
        <v>1</v>
      </c>
      <c r="AF247" s="12" t="b">
        <f t="shared" si="102"/>
        <v>1</v>
      </c>
    </row>
    <row r="248" spans="1:32" s="12" customFormat="1" ht="15.75" customHeight="1">
      <c r="A248" s="285"/>
      <c r="B248" s="182" t="s">
        <v>932</v>
      </c>
      <c r="C248" s="36" t="s">
        <v>101</v>
      </c>
      <c r="D248" s="37" t="s">
        <v>98</v>
      </c>
      <c r="E248" s="37" t="s">
        <v>124</v>
      </c>
      <c r="F248" s="37" t="s">
        <v>1036</v>
      </c>
      <c r="G248" s="37" t="s">
        <v>90</v>
      </c>
      <c r="H248" s="183">
        <f t="shared" ref="H248:J249" si="111">H249</f>
        <v>450</v>
      </c>
      <c r="I248" s="183">
        <f t="shared" si="111"/>
        <v>450</v>
      </c>
      <c r="J248" s="183">
        <f t="shared" si="111"/>
        <v>450</v>
      </c>
      <c r="K248" s="183">
        <v>450</v>
      </c>
      <c r="L248" s="183">
        <v>450</v>
      </c>
      <c r="M248" s="183">
        <v>450</v>
      </c>
      <c r="N248" s="183"/>
      <c r="O248" s="183">
        <v>450</v>
      </c>
      <c r="P248" s="183">
        <v>450</v>
      </c>
      <c r="Q248" s="183">
        <v>450</v>
      </c>
      <c r="R248" s="472">
        <f t="shared" si="93"/>
        <v>0</v>
      </c>
      <c r="S248" s="472">
        <f t="shared" si="94"/>
        <v>0</v>
      </c>
      <c r="T248" s="472">
        <f t="shared" si="95"/>
        <v>0</v>
      </c>
      <c r="U248" s="182" t="s">
        <v>932</v>
      </c>
      <c r="V248" s="36" t="s">
        <v>101</v>
      </c>
      <c r="W248" s="37" t="s">
        <v>98</v>
      </c>
      <c r="X248" s="37" t="s">
        <v>124</v>
      </c>
      <c r="Y248" s="37" t="s">
        <v>1036</v>
      </c>
      <c r="Z248" s="37" t="s">
        <v>90</v>
      </c>
      <c r="AA248" s="12" t="b">
        <f t="shared" si="97"/>
        <v>1</v>
      </c>
      <c r="AB248" s="12" t="b">
        <f t="shared" si="98"/>
        <v>1</v>
      </c>
      <c r="AC248" s="12" t="b">
        <f t="shared" si="99"/>
        <v>1</v>
      </c>
      <c r="AD248" s="12" t="b">
        <f t="shared" si="100"/>
        <v>1</v>
      </c>
      <c r="AE248" s="12" t="b">
        <f t="shared" si="101"/>
        <v>1</v>
      </c>
      <c r="AF248" s="12" t="b">
        <f t="shared" si="102"/>
        <v>1</v>
      </c>
    </row>
    <row r="249" spans="1:32" s="12" customFormat="1" ht="15.75" customHeight="1">
      <c r="A249" s="285"/>
      <c r="B249" s="182" t="s">
        <v>745</v>
      </c>
      <c r="C249" s="36" t="s">
        <v>101</v>
      </c>
      <c r="D249" s="37" t="s">
        <v>98</v>
      </c>
      <c r="E249" s="37" t="s">
        <v>124</v>
      </c>
      <c r="F249" s="37" t="s">
        <v>1037</v>
      </c>
      <c r="G249" s="37" t="s">
        <v>90</v>
      </c>
      <c r="H249" s="183">
        <f t="shared" si="111"/>
        <v>450</v>
      </c>
      <c r="I249" s="183">
        <f t="shared" si="111"/>
        <v>450</v>
      </c>
      <c r="J249" s="183">
        <f t="shared" si="111"/>
        <v>450</v>
      </c>
      <c r="K249" s="183">
        <v>450</v>
      </c>
      <c r="L249" s="183">
        <v>450</v>
      </c>
      <c r="M249" s="183">
        <v>450</v>
      </c>
      <c r="N249" s="183"/>
      <c r="O249" s="183">
        <v>450</v>
      </c>
      <c r="P249" s="183">
        <v>450</v>
      </c>
      <c r="Q249" s="183">
        <v>450</v>
      </c>
      <c r="R249" s="472">
        <f t="shared" si="93"/>
        <v>0</v>
      </c>
      <c r="S249" s="472">
        <f t="shared" si="94"/>
        <v>0</v>
      </c>
      <c r="T249" s="472">
        <f t="shared" si="95"/>
        <v>0</v>
      </c>
      <c r="U249" s="182" t="s">
        <v>745</v>
      </c>
      <c r="V249" s="36" t="s">
        <v>101</v>
      </c>
      <c r="W249" s="37" t="s">
        <v>98</v>
      </c>
      <c r="X249" s="37" t="s">
        <v>124</v>
      </c>
      <c r="Y249" s="37" t="s">
        <v>1037</v>
      </c>
      <c r="Z249" s="37" t="s">
        <v>90</v>
      </c>
      <c r="AA249" s="12" t="b">
        <f t="shared" si="97"/>
        <v>1</v>
      </c>
      <c r="AB249" s="12" t="b">
        <f t="shared" si="98"/>
        <v>1</v>
      </c>
      <c r="AC249" s="12" t="b">
        <f t="shared" si="99"/>
        <v>1</v>
      </c>
      <c r="AD249" s="12" t="b">
        <f t="shared" si="100"/>
        <v>1</v>
      </c>
      <c r="AE249" s="12" t="b">
        <f t="shared" si="101"/>
        <v>1</v>
      </c>
      <c r="AF249" s="12" t="b">
        <f t="shared" si="102"/>
        <v>1</v>
      </c>
    </row>
    <row r="250" spans="1:32" s="12" customFormat="1" ht="15.75" customHeight="1">
      <c r="A250" s="285"/>
      <c r="B250" s="182" t="s">
        <v>145</v>
      </c>
      <c r="C250" s="36" t="s">
        <v>101</v>
      </c>
      <c r="D250" s="37" t="s">
        <v>98</v>
      </c>
      <c r="E250" s="37" t="s">
        <v>124</v>
      </c>
      <c r="F250" s="37" t="s">
        <v>1037</v>
      </c>
      <c r="G250" s="37" t="s">
        <v>153</v>
      </c>
      <c r="H250" s="183">
        <v>450</v>
      </c>
      <c r="I250" s="183">
        <v>450</v>
      </c>
      <c r="J250" s="183">
        <v>450</v>
      </c>
      <c r="K250" s="183">
        <v>450</v>
      </c>
      <c r="L250" s="183">
        <v>450</v>
      </c>
      <c r="M250" s="183">
        <v>450</v>
      </c>
      <c r="N250" s="183"/>
      <c r="O250" s="183">
        <v>450</v>
      </c>
      <c r="P250" s="183">
        <v>450</v>
      </c>
      <c r="Q250" s="183">
        <v>450</v>
      </c>
      <c r="R250" s="472">
        <f t="shared" si="93"/>
        <v>0</v>
      </c>
      <c r="S250" s="472">
        <f t="shared" si="94"/>
        <v>0</v>
      </c>
      <c r="T250" s="472">
        <f t="shared" si="95"/>
        <v>0</v>
      </c>
      <c r="U250" s="182" t="s">
        <v>145</v>
      </c>
      <c r="V250" s="36" t="s">
        <v>101</v>
      </c>
      <c r="W250" s="37" t="s">
        <v>98</v>
      </c>
      <c r="X250" s="37" t="s">
        <v>124</v>
      </c>
      <c r="Y250" s="37" t="s">
        <v>1037</v>
      </c>
      <c r="Z250" s="37" t="s">
        <v>153</v>
      </c>
      <c r="AA250" s="12" t="b">
        <f t="shared" si="97"/>
        <v>1</v>
      </c>
      <c r="AB250" s="12" t="b">
        <f t="shared" si="98"/>
        <v>1</v>
      </c>
      <c r="AC250" s="12" t="b">
        <f t="shared" si="99"/>
        <v>1</v>
      </c>
      <c r="AD250" s="12" t="b">
        <f t="shared" si="100"/>
        <v>1</v>
      </c>
      <c r="AE250" s="12" t="b">
        <f t="shared" si="101"/>
        <v>1</v>
      </c>
      <c r="AF250" s="12" t="b">
        <f t="shared" si="102"/>
        <v>1</v>
      </c>
    </row>
    <row r="251" spans="1:32" s="12" customFormat="1" ht="15.75" customHeight="1">
      <c r="A251" s="285"/>
      <c r="B251" s="182" t="s">
        <v>522</v>
      </c>
      <c r="C251" s="36" t="s">
        <v>101</v>
      </c>
      <c r="D251" s="37" t="s">
        <v>98</v>
      </c>
      <c r="E251" s="37" t="s">
        <v>124</v>
      </c>
      <c r="F251" s="37" t="s">
        <v>1038</v>
      </c>
      <c r="G251" s="37" t="s">
        <v>90</v>
      </c>
      <c r="H251" s="183">
        <f t="shared" ref="H251:J252" si="112">H252</f>
        <v>76.5</v>
      </c>
      <c r="I251" s="183">
        <f t="shared" si="112"/>
        <v>76.5</v>
      </c>
      <c r="J251" s="183">
        <f t="shared" si="112"/>
        <v>76.5</v>
      </c>
      <c r="K251" s="183">
        <v>76.5</v>
      </c>
      <c r="L251" s="183">
        <v>76.5</v>
      </c>
      <c r="M251" s="183">
        <v>76.5</v>
      </c>
      <c r="N251" s="183"/>
      <c r="O251" s="183">
        <v>76.5</v>
      </c>
      <c r="P251" s="183">
        <v>76.5</v>
      </c>
      <c r="Q251" s="183">
        <v>76.5</v>
      </c>
      <c r="R251" s="472">
        <f t="shared" si="93"/>
        <v>0</v>
      </c>
      <c r="S251" s="472">
        <f t="shared" si="94"/>
        <v>0</v>
      </c>
      <c r="T251" s="472">
        <f t="shared" si="95"/>
        <v>0</v>
      </c>
      <c r="U251" s="182" t="s">
        <v>522</v>
      </c>
      <c r="V251" s="36" t="s">
        <v>101</v>
      </c>
      <c r="W251" s="37" t="s">
        <v>98</v>
      </c>
      <c r="X251" s="37" t="s">
        <v>124</v>
      </c>
      <c r="Y251" s="37" t="s">
        <v>1038</v>
      </c>
      <c r="Z251" s="37" t="s">
        <v>90</v>
      </c>
      <c r="AA251" s="12" t="b">
        <f t="shared" si="97"/>
        <v>1</v>
      </c>
      <c r="AB251" s="12" t="b">
        <f t="shared" si="98"/>
        <v>1</v>
      </c>
      <c r="AC251" s="12" t="b">
        <f t="shared" si="99"/>
        <v>1</v>
      </c>
      <c r="AD251" s="12" t="b">
        <f t="shared" si="100"/>
        <v>1</v>
      </c>
      <c r="AE251" s="12" t="b">
        <f t="shared" si="101"/>
        <v>1</v>
      </c>
      <c r="AF251" s="12" t="b">
        <f t="shared" si="102"/>
        <v>1</v>
      </c>
    </row>
    <row r="252" spans="1:32" s="12" customFormat="1" ht="15.75" customHeight="1">
      <c r="A252" s="285"/>
      <c r="B252" s="182" t="s">
        <v>745</v>
      </c>
      <c r="C252" s="36" t="s">
        <v>101</v>
      </c>
      <c r="D252" s="37" t="s">
        <v>98</v>
      </c>
      <c r="E252" s="37" t="s">
        <v>124</v>
      </c>
      <c r="F252" s="37" t="s">
        <v>1039</v>
      </c>
      <c r="G252" s="37" t="s">
        <v>90</v>
      </c>
      <c r="H252" s="183">
        <f t="shared" si="112"/>
        <v>76.5</v>
      </c>
      <c r="I252" s="183">
        <f t="shared" si="112"/>
        <v>76.5</v>
      </c>
      <c r="J252" s="183">
        <f t="shared" si="112"/>
        <v>76.5</v>
      </c>
      <c r="K252" s="183">
        <v>76.5</v>
      </c>
      <c r="L252" s="183">
        <v>76.5</v>
      </c>
      <c r="M252" s="183">
        <v>76.5</v>
      </c>
      <c r="N252" s="183"/>
      <c r="O252" s="183">
        <v>76.5</v>
      </c>
      <c r="P252" s="183">
        <v>76.5</v>
      </c>
      <c r="Q252" s="183">
        <v>76.5</v>
      </c>
      <c r="R252" s="472">
        <f t="shared" si="93"/>
        <v>0</v>
      </c>
      <c r="S252" s="472">
        <f t="shared" si="94"/>
        <v>0</v>
      </c>
      <c r="T252" s="472">
        <f t="shared" si="95"/>
        <v>0</v>
      </c>
      <c r="U252" s="182" t="s">
        <v>745</v>
      </c>
      <c r="V252" s="36" t="s">
        <v>101</v>
      </c>
      <c r="W252" s="37" t="s">
        <v>98</v>
      </c>
      <c r="X252" s="37" t="s">
        <v>124</v>
      </c>
      <c r="Y252" s="37" t="s">
        <v>1039</v>
      </c>
      <c r="Z252" s="37" t="s">
        <v>90</v>
      </c>
      <c r="AA252" s="12" t="b">
        <f t="shared" si="97"/>
        <v>1</v>
      </c>
      <c r="AB252" s="12" t="b">
        <f t="shared" si="98"/>
        <v>1</v>
      </c>
      <c r="AC252" s="12" t="b">
        <f t="shared" si="99"/>
        <v>1</v>
      </c>
      <c r="AD252" s="12" t="b">
        <f t="shared" si="100"/>
        <v>1</v>
      </c>
      <c r="AE252" s="12" t="b">
        <f t="shared" si="101"/>
        <v>1</v>
      </c>
      <c r="AF252" s="12" t="b">
        <f t="shared" si="102"/>
        <v>1</v>
      </c>
    </row>
    <row r="253" spans="1:32" s="12" customFormat="1" ht="15.75" customHeight="1">
      <c r="A253" s="285"/>
      <c r="B253" s="182" t="s">
        <v>145</v>
      </c>
      <c r="C253" s="36" t="s">
        <v>101</v>
      </c>
      <c r="D253" s="37" t="s">
        <v>98</v>
      </c>
      <c r="E253" s="37" t="s">
        <v>124</v>
      </c>
      <c r="F253" s="37" t="s">
        <v>1039</v>
      </c>
      <c r="G253" s="37" t="s">
        <v>153</v>
      </c>
      <c r="H253" s="183">
        <v>76.5</v>
      </c>
      <c r="I253" s="183">
        <v>76.5</v>
      </c>
      <c r="J253" s="183">
        <v>76.5</v>
      </c>
      <c r="K253" s="183">
        <v>76.5</v>
      </c>
      <c r="L253" s="183">
        <v>76.5</v>
      </c>
      <c r="M253" s="183">
        <v>76.5</v>
      </c>
      <c r="N253" s="183"/>
      <c r="O253" s="183">
        <v>76.5</v>
      </c>
      <c r="P253" s="183">
        <v>76.5</v>
      </c>
      <c r="Q253" s="183">
        <v>76.5</v>
      </c>
      <c r="R253" s="472">
        <f t="shared" si="93"/>
        <v>0</v>
      </c>
      <c r="S253" s="472">
        <f t="shared" si="94"/>
        <v>0</v>
      </c>
      <c r="T253" s="472">
        <f t="shared" si="95"/>
        <v>0</v>
      </c>
      <c r="U253" s="182" t="s">
        <v>145</v>
      </c>
      <c r="V253" s="36" t="s">
        <v>101</v>
      </c>
      <c r="W253" s="37" t="s">
        <v>98</v>
      </c>
      <c r="X253" s="37" t="s">
        <v>124</v>
      </c>
      <c r="Y253" s="37" t="s">
        <v>1039</v>
      </c>
      <c r="Z253" s="37" t="s">
        <v>153</v>
      </c>
      <c r="AA253" s="12" t="b">
        <f t="shared" si="97"/>
        <v>1</v>
      </c>
      <c r="AB253" s="12" t="b">
        <f t="shared" si="98"/>
        <v>1</v>
      </c>
      <c r="AC253" s="12" t="b">
        <f t="shared" si="99"/>
        <v>1</v>
      </c>
      <c r="AD253" s="12" t="b">
        <f t="shared" si="100"/>
        <v>1</v>
      </c>
      <c r="AE253" s="12" t="b">
        <f t="shared" si="101"/>
        <v>1</v>
      </c>
      <c r="AF253" s="12" t="b">
        <f t="shared" si="102"/>
        <v>1</v>
      </c>
    </row>
    <row r="254" spans="1:32" s="12" customFormat="1" ht="15.75" customHeight="1">
      <c r="A254" s="285"/>
      <c r="B254" s="182" t="s">
        <v>678</v>
      </c>
      <c r="C254" s="36" t="s">
        <v>101</v>
      </c>
      <c r="D254" s="37" t="s">
        <v>98</v>
      </c>
      <c r="E254" s="37" t="s">
        <v>124</v>
      </c>
      <c r="F254" s="37" t="s">
        <v>1040</v>
      </c>
      <c r="G254" s="37" t="s">
        <v>90</v>
      </c>
      <c r="H254" s="183">
        <f t="shared" ref="H254:J255" si="113">H255</f>
        <v>76.5</v>
      </c>
      <c r="I254" s="183">
        <f t="shared" si="113"/>
        <v>76.5</v>
      </c>
      <c r="J254" s="183">
        <f t="shared" si="113"/>
        <v>76.5</v>
      </c>
      <c r="K254" s="183">
        <v>76.5</v>
      </c>
      <c r="L254" s="183">
        <v>76.5</v>
      </c>
      <c r="M254" s="183">
        <v>76.5</v>
      </c>
      <c r="N254" s="183"/>
      <c r="O254" s="183">
        <v>76.5</v>
      </c>
      <c r="P254" s="183">
        <v>76.5</v>
      </c>
      <c r="Q254" s="183">
        <v>76.5</v>
      </c>
      <c r="R254" s="472">
        <f t="shared" si="93"/>
        <v>0</v>
      </c>
      <c r="S254" s="472">
        <f t="shared" si="94"/>
        <v>0</v>
      </c>
      <c r="T254" s="472">
        <f t="shared" si="95"/>
        <v>0</v>
      </c>
      <c r="U254" s="182" t="s">
        <v>678</v>
      </c>
      <c r="V254" s="36" t="s">
        <v>101</v>
      </c>
      <c r="W254" s="37" t="s">
        <v>98</v>
      </c>
      <c r="X254" s="37" t="s">
        <v>124</v>
      </c>
      <c r="Y254" s="37" t="s">
        <v>1040</v>
      </c>
      <c r="Z254" s="37" t="s">
        <v>90</v>
      </c>
      <c r="AA254" s="12" t="b">
        <f t="shared" si="97"/>
        <v>1</v>
      </c>
      <c r="AB254" s="12" t="b">
        <f t="shared" si="98"/>
        <v>1</v>
      </c>
      <c r="AC254" s="12" t="b">
        <f t="shared" si="99"/>
        <v>1</v>
      </c>
      <c r="AD254" s="12" t="b">
        <f t="shared" si="100"/>
        <v>1</v>
      </c>
      <c r="AE254" s="12" t="b">
        <f t="shared" si="101"/>
        <v>1</v>
      </c>
      <c r="AF254" s="12" t="b">
        <f t="shared" si="102"/>
        <v>1</v>
      </c>
    </row>
    <row r="255" spans="1:32" s="12" customFormat="1" ht="15.75" customHeight="1">
      <c r="A255" s="285"/>
      <c r="B255" s="182" t="s">
        <v>745</v>
      </c>
      <c r="C255" s="36" t="s">
        <v>101</v>
      </c>
      <c r="D255" s="37" t="s">
        <v>98</v>
      </c>
      <c r="E255" s="37" t="s">
        <v>124</v>
      </c>
      <c r="F255" s="37" t="s">
        <v>1041</v>
      </c>
      <c r="G255" s="37" t="s">
        <v>90</v>
      </c>
      <c r="H255" s="183">
        <f t="shared" si="113"/>
        <v>76.5</v>
      </c>
      <c r="I255" s="183">
        <f t="shared" si="113"/>
        <v>76.5</v>
      </c>
      <c r="J255" s="183">
        <f t="shared" si="113"/>
        <v>76.5</v>
      </c>
      <c r="K255" s="183">
        <v>76.5</v>
      </c>
      <c r="L255" s="183">
        <v>76.5</v>
      </c>
      <c r="M255" s="183">
        <v>76.5</v>
      </c>
      <c r="N255" s="183"/>
      <c r="O255" s="183">
        <v>76.5</v>
      </c>
      <c r="P255" s="183">
        <v>76.5</v>
      </c>
      <c r="Q255" s="183">
        <v>76.5</v>
      </c>
      <c r="R255" s="472">
        <f t="shared" si="93"/>
        <v>0</v>
      </c>
      <c r="S255" s="472">
        <f t="shared" si="94"/>
        <v>0</v>
      </c>
      <c r="T255" s="472">
        <f t="shared" si="95"/>
        <v>0</v>
      </c>
      <c r="U255" s="182" t="s">
        <v>745</v>
      </c>
      <c r="V255" s="36" t="s">
        <v>101</v>
      </c>
      <c r="W255" s="37" t="s">
        <v>98</v>
      </c>
      <c r="X255" s="37" t="s">
        <v>124</v>
      </c>
      <c r="Y255" s="37" t="s">
        <v>1041</v>
      </c>
      <c r="Z255" s="37" t="s">
        <v>90</v>
      </c>
      <c r="AA255" s="12" t="b">
        <f t="shared" si="97"/>
        <v>1</v>
      </c>
      <c r="AB255" s="12" t="b">
        <f t="shared" si="98"/>
        <v>1</v>
      </c>
      <c r="AC255" s="12" t="b">
        <f t="shared" si="99"/>
        <v>1</v>
      </c>
      <c r="AD255" s="12" t="b">
        <f t="shared" si="100"/>
        <v>1</v>
      </c>
      <c r="AE255" s="12" t="b">
        <f t="shared" si="101"/>
        <v>1</v>
      </c>
      <c r="AF255" s="12" t="b">
        <f t="shared" si="102"/>
        <v>1</v>
      </c>
    </row>
    <row r="256" spans="1:32" s="12" customFormat="1" ht="15.75" customHeight="1">
      <c r="A256" s="285"/>
      <c r="B256" s="182" t="s">
        <v>145</v>
      </c>
      <c r="C256" s="36" t="s">
        <v>101</v>
      </c>
      <c r="D256" s="37" t="s">
        <v>98</v>
      </c>
      <c r="E256" s="37" t="s">
        <v>124</v>
      </c>
      <c r="F256" s="37" t="s">
        <v>1041</v>
      </c>
      <c r="G256" s="37" t="s">
        <v>153</v>
      </c>
      <c r="H256" s="183">
        <v>76.5</v>
      </c>
      <c r="I256" s="183">
        <v>76.5</v>
      </c>
      <c r="J256" s="183">
        <v>76.5</v>
      </c>
      <c r="K256" s="183">
        <v>76.5</v>
      </c>
      <c r="L256" s="183">
        <v>76.5</v>
      </c>
      <c r="M256" s="183">
        <v>76.5</v>
      </c>
      <c r="N256" s="183"/>
      <c r="O256" s="183">
        <v>76.5</v>
      </c>
      <c r="P256" s="183">
        <v>76.5</v>
      </c>
      <c r="Q256" s="183">
        <v>76.5</v>
      </c>
      <c r="R256" s="472">
        <f t="shared" si="93"/>
        <v>0</v>
      </c>
      <c r="S256" s="472">
        <f t="shared" si="94"/>
        <v>0</v>
      </c>
      <c r="T256" s="472">
        <f t="shared" si="95"/>
        <v>0</v>
      </c>
      <c r="U256" s="182" t="s">
        <v>145</v>
      </c>
      <c r="V256" s="36" t="s">
        <v>101</v>
      </c>
      <c r="W256" s="37" t="s">
        <v>98</v>
      </c>
      <c r="X256" s="37" t="s">
        <v>124</v>
      </c>
      <c r="Y256" s="37" t="s">
        <v>1041</v>
      </c>
      <c r="Z256" s="37" t="s">
        <v>153</v>
      </c>
      <c r="AA256" s="12" t="b">
        <f t="shared" si="97"/>
        <v>1</v>
      </c>
      <c r="AB256" s="12" t="b">
        <f t="shared" si="98"/>
        <v>1</v>
      </c>
      <c r="AC256" s="12" t="b">
        <f t="shared" si="99"/>
        <v>1</v>
      </c>
      <c r="AD256" s="12" t="b">
        <f t="shared" si="100"/>
        <v>1</v>
      </c>
      <c r="AE256" s="12" t="b">
        <f t="shared" si="101"/>
        <v>1</v>
      </c>
      <c r="AF256" s="12" t="b">
        <f t="shared" si="102"/>
        <v>1</v>
      </c>
    </row>
    <row r="257" spans="1:32" s="12" customFormat="1" ht="15.75" customHeight="1">
      <c r="A257" s="285"/>
      <c r="B257" s="182" t="s">
        <v>253</v>
      </c>
      <c r="C257" s="36" t="s">
        <v>101</v>
      </c>
      <c r="D257" s="37" t="s">
        <v>98</v>
      </c>
      <c r="E257" s="37" t="s">
        <v>124</v>
      </c>
      <c r="F257" s="37" t="s">
        <v>1042</v>
      </c>
      <c r="G257" s="37" t="s">
        <v>90</v>
      </c>
      <c r="H257" s="183">
        <f>H258</f>
        <v>110550.89</v>
      </c>
      <c r="I257" s="183">
        <f t="shared" ref="I257:J257" si="114">I258</f>
        <v>110723.17</v>
      </c>
      <c r="J257" s="183">
        <f t="shared" si="114"/>
        <v>110902.36</v>
      </c>
      <c r="K257" s="183">
        <v>110550.89</v>
      </c>
      <c r="L257" s="183">
        <v>110723.17</v>
      </c>
      <c r="M257" s="183">
        <v>110902.36</v>
      </c>
      <c r="N257" s="183"/>
      <c r="O257" s="183">
        <v>110550.89</v>
      </c>
      <c r="P257" s="183">
        <v>110723.17</v>
      </c>
      <c r="Q257" s="183">
        <v>110902.36</v>
      </c>
      <c r="R257" s="472">
        <f t="shared" si="93"/>
        <v>0</v>
      </c>
      <c r="S257" s="472">
        <f t="shared" si="94"/>
        <v>0</v>
      </c>
      <c r="T257" s="472">
        <f t="shared" si="95"/>
        <v>0</v>
      </c>
      <c r="U257" s="182" t="s">
        <v>253</v>
      </c>
      <c r="V257" s="36" t="s">
        <v>101</v>
      </c>
      <c r="W257" s="37" t="s">
        <v>98</v>
      </c>
      <c r="X257" s="37" t="s">
        <v>124</v>
      </c>
      <c r="Y257" s="37" t="s">
        <v>1042</v>
      </c>
      <c r="Z257" s="37" t="s">
        <v>90</v>
      </c>
      <c r="AA257" s="12" t="b">
        <f t="shared" si="97"/>
        <v>1</v>
      </c>
      <c r="AB257" s="12" t="b">
        <f t="shared" si="98"/>
        <v>1</v>
      </c>
      <c r="AC257" s="12" t="b">
        <f t="shared" si="99"/>
        <v>1</v>
      </c>
      <c r="AD257" s="12" t="b">
        <f t="shared" si="100"/>
        <v>1</v>
      </c>
      <c r="AE257" s="12" t="b">
        <f t="shared" si="101"/>
        <v>1</v>
      </c>
      <c r="AF257" s="12" t="b">
        <f t="shared" si="102"/>
        <v>1</v>
      </c>
    </row>
    <row r="258" spans="1:32" s="12" customFormat="1" ht="15.75" customHeight="1">
      <c r="A258" s="285"/>
      <c r="B258" s="182" t="s">
        <v>254</v>
      </c>
      <c r="C258" s="36" t="s">
        <v>101</v>
      </c>
      <c r="D258" s="37" t="s">
        <v>98</v>
      </c>
      <c r="E258" s="37" t="s">
        <v>124</v>
      </c>
      <c r="F258" s="37" t="s">
        <v>1043</v>
      </c>
      <c r="G258" s="37" t="s">
        <v>90</v>
      </c>
      <c r="H258" s="183">
        <f>SUM(H259:H261)</f>
        <v>110550.89</v>
      </c>
      <c r="I258" s="183">
        <f>SUM(I259:I261)</f>
        <v>110723.17</v>
      </c>
      <c r="J258" s="183">
        <f>SUM(J259:J261)</f>
        <v>110902.36</v>
      </c>
      <c r="K258" s="183">
        <v>110550.89</v>
      </c>
      <c r="L258" s="183">
        <v>110723.17</v>
      </c>
      <c r="M258" s="183">
        <v>110902.36</v>
      </c>
      <c r="N258" s="183"/>
      <c r="O258" s="183">
        <v>110550.89</v>
      </c>
      <c r="P258" s="183">
        <v>110723.17</v>
      </c>
      <c r="Q258" s="183">
        <v>110902.36</v>
      </c>
      <c r="R258" s="472">
        <f t="shared" si="93"/>
        <v>0</v>
      </c>
      <c r="S258" s="472">
        <f t="shared" si="94"/>
        <v>0</v>
      </c>
      <c r="T258" s="472">
        <f t="shared" si="95"/>
        <v>0</v>
      </c>
      <c r="U258" s="182" t="s">
        <v>254</v>
      </c>
      <c r="V258" s="36" t="s">
        <v>101</v>
      </c>
      <c r="W258" s="37" t="s">
        <v>98</v>
      </c>
      <c r="X258" s="37" t="s">
        <v>124</v>
      </c>
      <c r="Y258" s="37" t="s">
        <v>1043</v>
      </c>
      <c r="Z258" s="37" t="s">
        <v>90</v>
      </c>
      <c r="AA258" s="12" t="b">
        <f t="shared" si="97"/>
        <v>1</v>
      </c>
      <c r="AB258" s="12" t="b">
        <f t="shared" si="98"/>
        <v>1</v>
      </c>
      <c r="AC258" s="12" t="b">
        <f t="shared" si="99"/>
        <v>1</v>
      </c>
      <c r="AD258" s="12" t="b">
        <f t="shared" si="100"/>
        <v>1</v>
      </c>
      <c r="AE258" s="12" t="b">
        <f t="shared" si="101"/>
        <v>1</v>
      </c>
      <c r="AF258" s="12" t="b">
        <f t="shared" si="102"/>
        <v>1</v>
      </c>
    </row>
    <row r="259" spans="1:32" s="12" customFormat="1" ht="15.75" customHeight="1">
      <c r="A259" s="285"/>
      <c r="B259" s="65" t="s">
        <v>143</v>
      </c>
      <c r="C259" s="56" t="s">
        <v>101</v>
      </c>
      <c r="D259" s="57" t="s">
        <v>98</v>
      </c>
      <c r="E259" s="57" t="s">
        <v>124</v>
      </c>
      <c r="F259" s="57" t="s">
        <v>1043</v>
      </c>
      <c r="G259" s="57" t="s">
        <v>157</v>
      </c>
      <c r="H259" s="58">
        <f>81350.42+8133.26</f>
        <v>89483.68</v>
      </c>
      <c r="I259" s="58">
        <f>81350.42+8133.26</f>
        <v>89483.68</v>
      </c>
      <c r="J259" s="58">
        <f>81350.42+8133.26</f>
        <v>89483.68</v>
      </c>
      <c r="K259" s="58">
        <v>89483.68</v>
      </c>
      <c r="L259" s="58">
        <v>89483.68</v>
      </c>
      <c r="M259" s="58">
        <v>89483.68</v>
      </c>
      <c r="N259" s="58"/>
      <c r="O259" s="58">
        <v>89483.68</v>
      </c>
      <c r="P259" s="58">
        <v>89483.68</v>
      </c>
      <c r="Q259" s="58">
        <v>89483.68</v>
      </c>
      <c r="R259" s="472">
        <f t="shared" ref="R259:R322" si="115">H259-O259</f>
        <v>0</v>
      </c>
      <c r="S259" s="472">
        <f t="shared" ref="S259:S322" si="116">I259-P259</f>
        <v>0</v>
      </c>
      <c r="T259" s="472">
        <f t="shared" ref="T259:T322" si="117">J259-Q259</f>
        <v>0</v>
      </c>
      <c r="U259" s="65" t="s">
        <v>143</v>
      </c>
      <c r="V259" s="56" t="s">
        <v>101</v>
      </c>
      <c r="W259" s="57" t="s">
        <v>98</v>
      </c>
      <c r="X259" s="57" t="s">
        <v>124</v>
      </c>
      <c r="Y259" s="57" t="s">
        <v>1043</v>
      </c>
      <c r="Z259" s="57" t="s">
        <v>157</v>
      </c>
      <c r="AA259" s="12" t="b">
        <f t="shared" si="97"/>
        <v>1</v>
      </c>
      <c r="AB259" s="12" t="b">
        <f t="shared" si="98"/>
        <v>1</v>
      </c>
      <c r="AC259" s="12" t="b">
        <f t="shared" si="99"/>
        <v>1</v>
      </c>
      <c r="AD259" s="12" t="b">
        <f t="shared" si="100"/>
        <v>1</v>
      </c>
      <c r="AE259" s="12" t="b">
        <f t="shared" si="101"/>
        <v>1</v>
      </c>
      <c r="AF259" s="12" t="b">
        <f t="shared" si="102"/>
        <v>1</v>
      </c>
    </row>
    <row r="260" spans="1:32" s="12" customFormat="1" ht="15.75" customHeight="1">
      <c r="A260" s="285"/>
      <c r="B260" s="54" t="s">
        <v>145</v>
      </c>
      <c r="C260" s="56" t="s">
        <v>101</v>
      </c>
      <c r="D260" s="57" t="s">
        <v>98</v>
      </c>
      <c r="E260" s="57" t="s">
        <v>124</v>
      </c>
      <c r="F260" s="57" t="s">
        <v>1043</v>
      </c>
      <c r="G260" s="57" t="s">
        <v>153</v>
      </c>
      <c r="H260" s="183">
        <f>19878.33+84.46-202.5</f>
        <v>19760.29</v>
      </c>
      <c r="I260" s="58">
        <f>19878.33-202.5+256.74</f>
        <v>19932.570000000003</v>
      </c>
      <c r="J260" s="58">
        <f>I260+179.19</f>
        <v>20111.760000000002</v>
      </c>
      <c r="K260" s="58">
        <v>19760.29</v>
      </c>
      <c r="L260" s="58">
        <v>19932.570000000003</v>
      </c>
      <c r="M260" s="58">
        <v>20111.760000000002</v>
      </c>
      <c r="N260" s="58"/>
      <c r="O260" s="58">
        <v>19760.29</v>
      </c>
      <c r="P260" s="58">
        <v>19932.570000000003</v>
      </c>
      <c r="Q260" s="58">
        <v>20111.760000000002</v>
      </c>
      <c r="R260" s="472">
        <f t="shared" si="115"/>
        <v>0</v>
      </c>
      <c r="S260" s="472">
        <f t="shared" si="116"/>
        <v>0</v>
      </c>
      <c r="T260" s="472">
        <f t="shared" si="117"/>
        <v>0</v>
      </c>
      <c r="U260" s="54" t="s">
        <v>145</v>
      </c>
      <c r="V260" s="56" t="s">
        <v>101</v>
      </c>
      <c r="W260" s="57" t="s">
        <v>98</v>
      </c>
      <c r="X260" s="57" t="s">
        <v>124</v>
      </c>
      <c r="Y260" s="57" t="s">
        <v>1043</v>
      </c>
      <c r="Z260" s="57" t="s">
        <v>153</v>
      </c>
      <c r="AA260" s="12" t="b">
        <f t="shared" ref="AA260:AA323" si="118">B260=U260</f>
        <v>1</v>
      </c>
      <c r="AB260" s="12" t="b">
        <f t="shared" ref="AB260:AB323" si="119">C260=V260</f>
        <v>1</v>
      </c>
      <c r="AC260" s="12" t="b">
        <f t="shared" ref="AC260:AC323" si="120">D260=W260</f>
        <v>1</v>
      </c>
      <c r="AD260" s="12" t="b">
        <f t="shared" ref="AD260:AD323" si="121">E260=X260</f>
        <v>1</v>
      </c>
      <c r="AE260" s="12" t="b">
        <f t="shared" ref="AE260:AE323" si="122">F260=Y260</f>
        <v>1</v>
      </c>
      <c r="AF260" s="12" t="b">
        <f t="shared" ref="AF260:AF323" si="123">G260=Z260</f>
        <v>1</v>
      </c>
    </row>
    <row r="261" spans="1:32" s="12" customFormat="1" ht="15.75" customHeight="1">
      <c r="A261" s="285"/>
      <c r="B261" s="182" t="s">
        <v>137</v>
      </c>
      <c r="C261" s="36" t="s">
        <v>101</v>
      </c>
      <c r="D261" s="37" t="s">
        <v>98</v>
      </c>
      <c r="E261" s="37" t="s">
        <v>124</v>
      </c>
      <c r="F261" s="37" t="s">
        <v>1043</v>
      </c>
      <c r="G261" s="89">
        <v>850</v>
      </c>
      <c r="H261" s="183">
        <v>1306.92</v>
      </c>
      <c r="I261" s="183">
        <v>1306.92</v>
      </c>
      <c r="J261" s="183">
        <v>1306.92</v>
      </c>
      <c r="K261" s="183">
        <v>1306.92</v>
      </c>
      <c r="L261" s="183">
        <v>1306.92</v>
      </c>
      <c r="M261" s="183">
        <v>1306.92</v>
      </c>
      <c r="N261" s="183"/>
      <c r="O261" s="183">
        <v>1306.92</v>
      </c>
      <c r="P261" s="183">
        <v>1306.92</v>
      </c>
      <c r="Q261" s="183">
        <v>1306.92</v>
      </c>
      <c r="R261" s="472">
        <f t="shared" si="115"/>
        <v>0</v>
      </c>
      <c r="S261" s="472">
        <f t="shared" si="116"/>
        <v>0</v>
      </c>
      <c r="T261" s="472">
        <f t="shared" si="117"/>
        <v>0</v>
      </c>
      <c r="U261" s="182" t="s">
        <v>137</v>
      </c>
      <c r="V261" s="36" t="s">
        <v>101</v>
      </c>
      <c r="W261" s="37" t="s">
        <v>98</v>
      </c>
      <c r="X261" s="37" t="s">
        <v>124</v>
      </c>
      <c r="Y261" s="37" t="s">
        <v>1043</v>
      </c>
      <c r="Z261" s="89">
        <v>850</v>
      </c>
      <c r="AA261" s="12" t="b">
        <f t="shared" si="118"/>
        <v>1</v>
      </c>
      <c r="AB261" s="12" t="b">
        <f t="shared" si="119"/>
        <v>1</v>
      </c>
      <c r="AC261" s="12" t="b">
        <f t="shared" si="120"/>
        <v>1</v>
      </c>
      <c r="AD261" s="12" t="b">
        <f t="shared" si="121"/>
        <v>1</v>
      </c>
      <c r="AE261" s="12" t="b">
        <f t="shared" si="122"/>
        <v>1</v>
      </c>
      <c r="AF261" s="12" t="b">
        <f t="shared" si="123"/>
        <v>1</v>
      </c>
    </row>
    <row r="262" spans="1:32" s="12" customFormat="1" ht="15.75" customHeight="1">
      <c r="A262" s="285"/>
      <c r="B262" s="182" t="s">
        <v>667</v>
      </c>
      <c r="C262" s="36" t="s">
        <v>101</v>
      </c>
      <c r="D262" s="37" t="s">
        <v>98</v>
      </c>
      <c r="E262" s="37" t="s">
        <v>124</v>
      </c>
      <c r="F262" s="37" t="s">
        <v>255</v>
      </c>
      <c r="G262" s="37" t="s">
        <v>90</v>
      </c>
      <c r="H262" s="183">
        <f t="shared" ref="H262:J265" si="124">H263</f>
        <v>7.65</v>
      </c>
      <c r="I262" s="183">
        <f t="shared" si="124"/>
        <v>7.65</v>
      </c>
      <c r="J262" s="183">
        <f t="shared" si="124"/>
        <v>7.65</v>
      </c>
      <c r="K262" s="183">
        <v>7.65</v>
      </c>
      <c r="L262" s="183">
        <v>7.65</v>
      </c>
      <c r="M262" s="183">
        <v>7.65</v>
      </c>
      <c r="N262" s="183"/>
      <c r="O262" s="183">
        <v>7.65</v>
      </c>
      <c r="P262" s="183">
        <v>7.65</v>
      </c>
      <c r="Q262" s="183">
        <v>7.65</v>
      </c>
      <c r="R262" s="472">
        <f t="shared" si="115"/>
        <v>0</v>
      </c>
      <c r="S262" s="472">
        <f t="shared" si="116"/>
        <v>0</v>
      </c>
      <c r="T262" s="472">
        <f t="shared" si="117"/>
        <v>0</v>
      </c>
      <c r="U262" s="182" t="s">
        <v>667</v>
      </c>
      <c r="V262" s="36" t="s">
        <v>101</v>
      </c>
      <c r="W262" s="37" t="s">
        <v>98</v>
      </c>
      <c r="X262" s="37" t="s">
        <v>124</v>
      </c>
      <c r="Y262" s="37" t="s">
        <v>255</v>
      </c>
      <c r="Z262" s="37" t="s">
        <v>90</v>
      </c>
      <c r="AA262" s="12" t="b">
        <f t="shared" si="118"/>
        <v>1</v>
      </c>
      <c r="AB262" s="12" t="b">
        <f t="shared" si="119"/>
        <v>1</v>
      </c>
      <c r="AC262" s="12" t="b">
        <f t="shared" si="120"/>
        <v>1</v>
      </c>
      <c r="AD262" s="12" t="b">
        <f t="shared" si="121"/>
        <v>1</v>
      </c>
      <c r="AE262" s="12" t="b">
        <f t="shared" si="122"/>
        <v>1</v>
      </c>
      <c r="AF262" s="12" t="b">
        <f t="shared" si="123"/>
        <v>1</v>
      </c>
    </row>
    <row r="263" spans="1:32" s="12" customFormat="1" ht="15.75" customHeight="1">
      <c r="A263" s="285"/>
      <c r="B263" s="182" t="s">
        <v>751</v>
      </c>
      <c r="C263" s="36" t="s">
        <v>101</v>
      </c>
      <c r="D263" s="37" t="s">
        <v>98</v>
      </c>
      <c r="E263" s="37" t="s">
        <v>124</v>
      </c>
      <c r="F263" s="37" t="s">
        <v>257</v>
      </c>
      <c r="G263" s="37" t="s">
        <v>90</v>
      </c>
      <c r="H263" s="183">
        <f t="shared" si="124"/>
        <v>7.65</v>
      </c>
      <c r="I263" s="183">
        <f t="shared" si="124"/>
        <v>7.65</v>
      </c>
      <c r="J263" s="183">
        <f t="shared" si="124"/>
        <v>7.65</v>
      </c>
      <c r="K263" s="183">
        <v>7.65</v>
      </c>
      <c r="L263" s="183">
        <v>7.65</v>
      </c>
      <c r="M263" s="183">
        <v>7.65</v>
      </c>
      <c r="N263" s="183"/>
      <c r="O263" s="183">
        <v>7.65</v>
      </c>
      <c r="P263" s="183">
        <v>7.65</v>
      </c>
      <c r="Q263" s="183">
        <v>7.65</v>
      </c>
      <c r="R263" s="472">
        <f t="shared" si="115"/>
        <v>0</v>
      </c>
      <c r="S263" s="472">
        <f t="shared" si="116"/>
        <v>0</v>
      </c>
      <c r="T263" s="472">
        <f t="shared" si="117"/>
        <v>0</v>
      </c>
      <c r="U263" s="182" t="s">
        <v>751</v>
      </c>
      <c r="V263" s="36" t="s">
        <v>101</v>
      </c>
      <c r="W263" s="37" t="s">
        <v>98</v>
      </c>
      <c r="X263" s="37" t="s">
        <v>124</v>
      </c>
      <c r="Y263" s="37" t="s">
        <v>257</v>
      </c>
      <c r="Z263" s="37" t="s">
        <v>90</v>
      </c>
      <c r="AA263" s="12" t="b">
        <f t="shared" si="118"/>
        <v>1</v>
      </c>
      <c r="AB263" s="12" t="b">
        <f t="shared" si="119"/>
        <v>1</v>
      </c>
      <c r="AC263" s="12" t="b">
        <f t="shared" si="120"/>
        <v>1</v>
      </c>
      <c r="AD263" s="12" t="b">
        <f t="shared" si="121"/>
        <v>1</v>
      </c>
      <c r="AE263" s="12" t="b">
        <f t="shared" si="122"/>
        <v>1</v>
      </c>
      <c r="AF263" s="12" t="b">
        <f t="shared" si="123"/>
        <v>1</v>
      </c>
    </row>
    <row r="264" spans="1:32" s="12" customFormat="1" ht="15.75" customHeight="1">
      <c r="A264" s="285"/>
      <c r="B264" s="182" t="s">
        <v>533</v>
      </c>
      <c r="C264" s="36" t="s">
        <v>101</v>
      </c>
      <c r="D264" s="37" t="s">
        <v>98</v>
      </c>
      <c r="E264" s="37" t="s">
        <v>124</v>
      </c>
      <c r="F264" s="37" t="s">
        <v>680</v>
      </c>
      <c r="G264" s="37" t="s">
        <v>90</v>
      </c>
      <c r="H264" s="183">
        <f t="shared" si="124"/>
        <v>7.65</v>
      </c>
      <c r="I264" s="183">
        <f t="shared" si="124"/>
        <v>7.65</v>
      </c>
      <c r="J264" s="183">
        <f t="shared" si="124"/>
        <v>7.65</v>
      </c>
      <c r="K264" s="183">
        <v>7.65</v>
      </c>
      <c r="L264" s="183">
        <v>7.65</v>
      </c>
      <c r="M264" s="183">
        <v>7.65</v>
      </c>
      <c r="N264" s="183"/>
      <c r="O264" s="183">
        <v>7.65</v>
      </c>
      <c r="P264" s="183">
        <v>7.65</v>
      </c>
      <c r="Q264" s="183">
        <v>7.65</v>
      </c>
      <c r="R264" s="472">
        <f t="shared" si="115"/>
        <v>0</v>
      </c>
      <c r="S264" s="472">
        <f t="shared" si="116"/>
        <v>0</v>
      </c>
      <c r="T264" s="472">
        <f t="shared" si="117"/>
        <v>0</v>
      </c>
      <c r="U264" s="182" t="s">
        <v>533</v>
      </c>
      <c r="V264" s="36" t="s">
        <v>101</v>
      </c>
      <c r="W264" s="37" t="s">
        <v>98</v>
      </c>
      <c r="X264" s="37" t="s">
        <v>124</v>
      </c>
      <c r="Y264" s="37" t="s">
        <v>680</v>
      </c>
      <c r="Z264" s="37" t="s">
        <v>90</v>
      </c>
      <c r="AA264" s="12" t="b">
        <f t="shared" si="118"/>
        <v>1</v>
      </c>
      <c r="AB264" s="12" t="b">
        <f t="shared" si="119"/>
        <v>1</v>
      </c>
      <c r="AC264" s="12" t="b">
        <f t="shared" si="120"/>
        <v>1</v>
      </c>
      <c r="AD264" s="12" t="b">
        <f t="shared" si="121"/>
        <v>1</v>
      </c>
      <c r="AE264" s="12" t="b">
        <f t="shared" si="122"/>
        <v>1</v>
      </c>
      <c r="AF264" s="12" t="b">
        <f t="shared" si="123"/>
        <v>1</v>
      </c>
    </row>
    <row r="265" spans="1:32" s="12" customFormat="1" ht="15.75" customHeight="1">
      <c r="A265" s="285"/>
      <c r="B265" s="182" t="s">
        <v>168</v>
      </c>
      <c r="C265" s="36" t="s">
        <v>101</v>
      </c>
      <c r="D265" s="37" t="s">
        <v>98</v>
      </c>
      <c r="E265" s="37" t="s">
        <v>124</v>
      </c>
      <c r="F265" s="37" t="s">
        <v>893</v>
      </c>
      <c r="G265" s="37" t="s">
        <v>90</v>
      </c>
      <c r="H265" s="183">
        <f t="shared" si="124"/>
        <v>7.65</v>
      </c>
      <c r="I265" s="183">
        <f t="shared" si="124"/>
        <v>7.65</v>
      </c>
      <c r="J265" s="183">
        <f t="shared" si="124"/>
        <v>7.65</v>
      </c>
      <c r="K265" s="183">
        <v>7.65</v>
      </c>
      <c r="L265" s="183">
        <v>7.65</v>
      </c>
      <c r="M265" s="183">
        <v>7.65</v>
      </c>
      <c r="N265" s="183"/>
      <c r="O265" s="183">
        <v>7.65</v>
      </c>
      <c r="P265" s="183">
        <v>7.65</v>
      </c>
      <c r="Q265" s="183">
        <v>7.65</v>
      </c>
      <c r="R265" s="472">
        <f t="shared" si="115"/>
        <v>0</v>
      </c>
      <c r="S265" s="472">
        <f t="shared" si="116"/>
        <v>0</v>
      </c>
      <c r="T265" s="472">
        <f t="shared" si="117"/>
        <v>0</v>
      </c>
      <c r="U265" s="182" t="s">
        <v>168</v>
      </c>
      <c r="V265" s="36" t="s">
        <v>101</v>
      </c>
      <c r="W265" s="37" t="s">
        <v>98</v>
      </c>
      <c r="X265" s="37" t="s">
        <v>124</v>
      </c>
      <c r="Y265" s="37" t="s">
        <v>893</v>
      </c>
      <c r="Z265" s="37" t="s">
        <v>90</v>
      </c>
      <c r="AA265" s="12" t="b">
        <f t="shared" si="118"/>
        <v>1</v>
      </c>
      <c r="AB265" s="12" t="b">
        <f t="shared" si="119"/>
        <v>1</v>
      </c>
      <c r="AC265" s="12" t="b">
        <f t="shared" si="120"/>
        <v>1</v>
      </c>
      <c r="AD265" s="12" t="b">
        <f t="shared" si="121"/>
        <v>1</v>
      </c>
      <c r="AE265" s="12" t="b">
        <f t="shared" si="122"/>
        <v>1</v>
      </c>
      <c r="AF265" s="12" t="b">
        <f t="shared" si="123"/>
        <v>1</v>
      </c>
    </row>
    <row r="266" spans="1:32" s="12" customFormat="1" ht="15.75" customHeight="1">
      <c r="A266" s="285"/>
      <c r="B266" s="182" t="s">
        <v>145</v>
      </c>
      <c r="C266" s="36" t="s">
        <v>101</v>
      </c>
      <c r="D266" s="37" t="s">
        <v>98</v>
      </c>
      <c r="E266" s="37" t="s">
        <v>124</v>
      </c>
      <c r="F266" s="37" t="s">
        <v>893</v>
      </c>
      <c r="G266" s="37" t="s">
        <v>153</v>
      </c>
      <c r="H266" s="183">
        <v>7.65</v>
      </c>
      <c r="I266" s="183">
        <v>7.65</v>
      </c>
      <c r="J266" s="183">
        <v>7.65</v>
      </c>
      <c r="K266" s="183">
        <v>7.65</v>
      </c>
      <c r="L266" s="183">
        <v>7.65</v>
      </c>
      <c r="M266" s="183">
        <v>7.65</v>
      </c>
      <c r="N266" s="183"/>
      <c r="O266" s="183">
        <v>7.65</v>
      </c>
      <c r="P266" s="183">
        <v>7.65</v>
      </c>
      <c r="Q266" s="183">
        <v>7.65</v>
      </c>
      <c r="R266" s="472">
        <f t="shared" si="115"/>
        <v>0</v>
      </c>
      <c r="S266" s="472">
        <f t="shared" si="116"/>
        <v>0</v>
      </c>
      <c r="T266" s="472">
        <f t="shared" si="117"/>
        <v>0</v>
      </c>
      <c r="U266" s="182" t="s">
        <v>145</v>
      </c>
      <c r="V266" s="36" t="s">
        <v>101</v>
      </c>
      <c r="W266" s="37" t="s">
        <v>98</v>
      </c>
      <c r="X266" s="37" t="s">
        <v>124</v>
      </c>
      <c r="Y266" s="37" t="s">
        <v>893</v>
      </c>
      <c r="Z266" s="37" t="s">
        <v>153</v>
      </c>
      <c r="AA266" s="12" t="b">
        <f t="shared" si="118"/>
        <v>1</v>
      </c>
      <c r="AB266" s="12" t="b">
        <f t="shared" si="119"/>
        <v>1</v>
      </c>
      <c r="AC266" s="12" t="b">
        <f t="shared" si="120"/>
        <v>1</v>
      </c>
      <c r="AD266" s="12" t="b">
        <f t="shared" si="121"/>
        <v>1</v>
      </c>
      <c r="AE266" s="12" t="b">
        <f t="shared" si="122"/>
        <v>1</v>
      </c>
      <c r="AF266" s="12" t="b">
        <f t="shared" si="123"/>
        <v>1</v>
      </c>
    </row>
    <row r="267" spans="1:32" s="12" customFormat="1" ht="15.75" customHeight="1">
      <c r="A267" s="285"/>
      <c r="B267" s="182" t="s">
        <v>1015</v>
      </c>
      <c r="C267" s="36" t="s">
        <v>101</v>
      </c>
      <c r="D267" s="37" t="s">
        <v>98</v>
      </c>
      <c r="E267" s="37" t="s">
        <v>124</v>
      </c>
      <c r="F267" s="37" t="s">
        <v>309</v>
      </c>
      <c r="G267" s="37" t="s">
        <v>90</v>
      </c>
      <c r="H267" s="183">
        <f>H268</f>
        <v>52711.990000000005</v>
      </c>
      <c r="I267" s="183">
        <f>I268</f>
        <v>52743.48</v>
      </c>
      <c r="J267" s="183">
        <f>J268</f>
        <v>52776.540000000008</v>
      </c>
      <c r="K267" s="183">
        <v>52711.990000000005</v>
      </c>
      <c r="L267" s="183">
        <v>52743.48</v>
      </c>
      <c r="M267" s="183">
        <v>52776.540000000008</v>
      </c>
      <c r="N267" s="183"/>
      <c r="O267" s="183">
        <v>52686.559999999998</v>
      </c>
      <c r="P267" s="183">
        <v>52718.049999999996</v>
      </c>
      <c r="Q267" s="183">
        <v>52751.11</v>
      </c>
      <c r="R267" s="472">
        <f t="shared" si="115"/>
        <v>25.430000000007567</v>
      </c>
      <c r="S267" s="472">
        <f t="shared" si="116"/>
        <v>25.430000000007567</v>
      </c>
      <c r="T267" s="472">
        <f t="shared" si="117"/>
        <v>25.430000000007567</v>
      </c>
      <c r="U267" s="182" t="s">
        <v>1015</v>
      </c>
      <c r="V267" s="36" t="s">
        <v>101</v>
      </c>
      <c r="W267" s="37" t="s">
        <v>98</v>
      </c>
      <c r="X267" s="37" t="s">
        <v>124</v>
      </c>
      <c r="Y267" s="37" t="s">
        <v>309</v>
      </c>
      <c r="Z267" s="37" t="s">
        <v>90</v>
      </c>
      <c r="AA267" s="12" t="b">
        <f t="shared" si="118"/>
        <v>1</v>
      </c>
      <c r="AB267" s="12" t="b">
        <f t="shared" si="119"/>
        <v>1</v>
      </c>
      <c r="AC267" s="12" t="b">
        <f t="shared" si="120"/>
        <v>1</v>
      </c>
      <c r="AD267" s="12" t="b">
        <f t="shared" si="121"/>
        <v>1</v>
      </c>
      <c r="AE267" s="12" t="b">
        <f t="shared" si="122"/>
        <v>1</v>
      </c>
      <c r="AF267" s="12" t="b">
        <f t="shared" si="123"/>
        <v>1</v>
      </c>
    </row>
    <row r="268" spans="1:32" s="12" customFormat="1" ht="15.75" customHeight="1">
      <c r="A268" s="285"/>
      <c r="B268" s="182" t="s">
        <v>1016</v>
      </c>
      <c r="C268" s="36" t="s">
        <v>101</v>
      </c>
      <c r="D268" s="37" t="s">
        <v>98</v>
      </c>
      <c r="E268" s="37" t="s">
        <v>124</v>
      </c>
      <c r="F268" s="37" t="s">
        <v>310</v>
      </c>
      <c r="G268" s="37" t="s">
        <v>90</v>
      </c>
      <c r="H268" s="183">
        <f>H269+H273</f>
        <v>52711.990000000005</v>
      </c>
      <c r="I268" s="183">
        <f t="shared" ref="I268:J268" si="125">I269+I273</f>
        <v>52743.48</v>
      </c>
      <c r="J268" s="183">
        <f t="shared" si="125"/>
        <v>52776.540000000008</v>
      </c>
      <c r="K268" s="183">
        <v>52711.990000000005</v>
      </c>
      <c r="L268" s="183">
        <v>52743.48</v>
      </c>
      <c r="M268" s="183">
        <v>52776.540000000008</v>
      </c>
      <c r="N268" s="183"/>
      <c r="O268" s="183">
        <v>52686.559999999998</v>
      </c>
      <c r="P268" s="183">
        <v>52718.049999999996</v>
      </c>
      <c r="Q268" s="183">
        <v>52751.11</v>
      </c>
      <c r="R268" s="472">
        <f t="shared" si="115"/>
        <v>25.430000000007567</v>
      </c>
      <c r="S268" s="472">
        <f t="shared" si="116"/>
        <v>25.430000000007567</v>
      </c>
      <c r="T268" s="472">
        <f t="shared" si="117"/>
        <v>25.430000000007567</v>
      </c>
      <c r="U268" s="182" t="s">
        <v>1016</v>
      </c>
      <c r="V268" s="36" t="s">
        <v>101</v>
      </c>
      <c r="W268" s="37" t="s">
        <v>98</v>
      </c>
      <c r="X268" s="37" t="s">
        <v>124</v>
      </c>
      <c r="Y268" s="37" t="s">
        <v>310</v>
      </c>
      <c r="Z268" s="37" t="s">
        <v>90</v>
      </c>
      <c r="AA268" s="12" t="b">
        <f t="shared" si="118"/>
        <v>1</v>
      </c>
      <c r="AB268" s="12" t="b">
        <f t="shared" si="119"/>
        <v>1</v>
      </c>
      <c r="AC268" s="12" t="b">
        <f t="shared" si="120"/>
        <v>1</v>
      </c>
      <c r="AD268" s="12" t="b">
        <f t="shared" si="121"/>
        <v>1</v>
      </c>
      <c r="AE268" s="12" t="b">
        <f t="shared" si="122"/>
        <v>1</v>
      </c>
      <c r="AF268" s="12" t="b">
        <f t="shared" si="123"/>
        <v>1</v>
      </c>
    </row>
    <row r="269" spans="1:32" s="12" customFormat="1" ht="15.75" customHeight="1">
      <c r="A269" s="285"/>
      <c r="B269" s="182" t="s">
        <v>151</v>
      </c>
      <c r="C269" s="36" t="s">
        <v>101</v>
      </c>
      <c r="D269" s="37" t="s">
        <v>98</v>
      </c>
      <c r="E269" s="37" t="s">
        <v>124</v>
      </c>
      <c r="F269" s="37" t="s">
        <v>311</v>
      </c>
      <c r="G269" s="37" t="s">
        <v>90</v>
      </c>
      <c r="H269" s="183">
        <f>H270+H271+H272</f>
        <v>4918.1499999999996</v>
      </c>
      <c r="I269" s="183">
        <f>I270+I271+I272</f>
        <v>4949.6400000000003</v>
      </c>
      <c r="J269" s="183">
        <f>J270+J271+J272</f>
        <v>4982.7000000000007</v>
      </c>
      <c r="K269" s="183">
        <v>4918.1499999999996</v>
      </c>
      <c r="L269" s="183">
        <v>4949.6400000000003</v>
      </c>
      <c r="M269" s="183">
        <v>4982.7000000000007</v>
      </c>
      <c r="N269" s="183"/>
      <c r="O269" s="183">
        <v>4918.1499999999996</v>
      </c>
      <c r="P269" s="183">
        <v>4949.6400000000003</v>
      </c>
      <c r="Q269" s="183">
        <v>4982.7000000000007</v>
      </c>
      <c r="R269" s="472">
        <f t="shared" si="115"/>
        <v>0</v>
      </c>
      <c r="S269" s="472">
        <f t="shared" si="116"/>
        <v>0</v>
      </c>
      <c r="T269" s="472">
        <f t="shared" si="117"/>
        <v>0</v>
      </c>
      <c r="U269" s="182" t="s">
        <v>151</v>
      </c>
      <c r="V269" s="36" t="s">
        <v>101</v>
      </c>
      <c r="W269" s="37" t="s">
        <v>98</v>
      </c>
      <c r="X269" s="37" t="s">
        <v>124</v>
      </c>
      <c r="Y269" s="37" t="s">
        <v>311</v>
      </c>
      <c r="Z269" s="37" t="s">
        <v>90</v>
      </c>
      <c r="AA269" s="12" t="b">
        <f t="shared" si="118"/>
        <v>1</v>
      </c>
      <c r="AB269" s="12" t="b">
        <f t="shared" si="119"/>
        <v>1</v>
      </c>
      <c r="AC269" s="12" t="b">
        <f t="shared" si="120"/>
        <v>1</v>
      </c>
      <c r="AD269" s="12" t="b">
        <f t="shared" si="121"/>
        <v>1</v>
      </c>
      <c r="AE269" s="12" t="b">
        <f t="shared" si="122"/>
        <v>1</v>
      </c>
      <c r="AF269" s="12" t="b">
        <f t="shared" si="123"/>
        <v>1</v>
      </c>
    </row>
    <row r="270" spans="1:32" s="12" customFormat="1" ht="15.75" customHeight="1">
      <c r="A270" s="285"/>
      <c r="B270" s="182" t="s">
        <v>144</v>
      </c>
      <c r="C270" s="36" t="s">
        <v>101</v>
      </c>
      <c r="D270" s="37" t="s">
        <v>98</v>
      </c>
      <c r="E270" s="37" t="s">
        <v>124</v>
      </c>
      <c r="F270" s="37" t="s">
        <v>311</v>
      </c>
      <c r="G270" s="37" t="s">
        <v>152</v>
      </c>
      <c r="H270" s="183">
        <v>965.65</v>
      </c>
      <c r="I270" s="183">
        <v>965.65</v>
      </c>
      <c r="J270" s="183">
        <v>965.65</v>
      </c>
      <c r="K270" s="183">
        <v>965.65</v>
      </c>
      <c r="L270" s="183">
        <v>965.65</v>
      </c>
      <c r="M270" s="183">
        <v>965.65</v>
      </c>
      <c r="N270" s="183"/>
      <c r="O270" s="183">
        <v>965.65</v>
      </c>
      <c r="P270" s="183">
        <v>965.65</v>
      </c>
      <c r="Q270" s="183">
        <v>965.65</v>
      </c>
      <c r="R270" s="472">
        <f t="shared" si="115"/>
        <v>0</v>
      </c>
      <c r="S270" s="472">
        <f t="shared" si="116"/>
        <v>0</v>
      </c>
      <c r="T270" s="472">
        <f t="shared" si="117"/>
        <v>0</v>
      </c>
      <c r="U270" s="182" t="s">
        <v>144</v>
      </c>
      <c r="V270" s="36" t="s">
        <v>101</v>
      </c>
      <c r="W270" s="37" t="s">
        <v>98</v>
      </c>
      <c r="X270" s="37" t="s">
        <v>124</v>
      </c>
      <c r="Y270" s="37" t="s">
        <v>311</v>
      </c>
      <c r="Z270" s="37" t="s">
        <v>152</v>
      </c>
      <c r="AA270" s="12" t="b">
        <f t="shared" si="118"/>
        <v>1</v>
      </c>
      <c r="AB270" s="12" t="b">
        <f t="shared" si="119"/>
        <v>1</v>
      </c>
      <c r="AC270" s="12" t="b">
        <f t="shared" si="120"/>
        <v>1</v>
      </c>
      <c r="AD270" s="12" t="b">
        <f t="shared" si="121"/>
        <v>1</v>
      </c>
      <c r="AE270" s="12" t="b">
        <f t="shared" si="122"/>
        <v>1</v>
      </c>
      <c r="AF270" s="12" t="b">
        <f t="shared" si="123"/>
        <v>1</v>
      </c>
    </row>
    <row r="271" spans="1:32" s="12" customFormat="1" ht="15.75" customHeight="1">
      <c r="A271" s="285"/>
      <c r="B271" s="182" t="s">
        <v>145</v>
      </c>
      <c r="C271" s="36" t="s">
        <v>101</v>
      </c>
      <c r="D271" s="37" t="s">
        <v>98</v>
      </c>
      <c r="E271" s="37" t="s">
        <v>124</v>
      </c>
      <c r="F271" s="37" t="s">
        <v>311</v>
      </c>
      <c r="G271" s="37" t="s">
        <v>153</v>
      </c>
      <c r="H271" s="183">
        <f>3765.78+340.82+162-353.12+15.58</f>
        <v>3931.0600000000004</v>
      </c>
      <c r="I271" s="183">
        <f>3765.78+340.82+162-353.12+47.37</f>
        <v>3962.8500000000004</v>
      </c>
      <c r="J271" s="183">
        <f>I271+33.06</f>
        <v>3995.9100000000003</v>
      </c>
      <c r="K271" s="183">
        <v>3931.0600000000004</v>
      </c>
      <c r="L271" s="183">
        <v>3962.8500000000004</v>
      </c>
      <c r="M271" s="183">
        <v>3995.9100000000003</v>
      </c>
      <c r="N271" s="183"/>
      <c r="O271" s="183">
        <v>3931.0600000000004</v>
      </c>
      <c r="P271" s="183">
        <v>3962.8500000000004</v>
      </c>
      <c r="Q271" s="183">
        <v>3995.9100000000003</v>
      </c>
      <c r="R271" s="472">
        <f t="shared" si="115"/>
        <v>0</v>
      </c>
      <c r="S271" s="472">
        <f t="shared" si="116"/>
        <v>0</v>
      </c>
      <c r="T271" s="472">
        <f t="shared" si="117"/>
        <v>0</v>
      </c>
      <c r="U271" s="182" t="s">
        <v>145</v>
      </c>
      <c r="V271" s="36" t="s">
        <v>101</v>
      </c>
      <c r="W271" s="37" t="s">
        <v>98</v>
      </c>
      <c r="X271" s="37" t="s">
        <v>124</v>
      </c>
      <c r="Y271" s="37" t="s">
        <v>311</v>
      </c>
      <c r="Z271" s="37" t="s">
        <v>153</v>
      </c>
      <c r="AA271" s="12" t="b">
        <f t="shared" si="118"/>
        <v>1</v>
      </c>
      <c r="AB271" s="12" t="b">
        <f t="shared" si="119"/>
        <v>1</v>
      </c>
      <c r="AC271" s="12" t="b">
        <f t="shared" si="120"/>
        <v>1</v>
      </c>
      <c r="AD271" s="12" t="b">
        <f t="shared" si="121"/>
        <v>1</v>
      </c>
      <c r="AE271" s="12" t="b">
        <f t="shared" si="122"/>
        <v>1</v>
      </c>
      <c r="AF271" s="12" t="b">
        <f t="shared" si="123"/>
        <v>1</v>
      </c>
    </row>
    <row r="272" spans="1:32" s="12" customFormat="1" ht="15.75" customHeight="1">
      <c r="A272" s="285"/>
      <c r="B272" s="182" t="s">
        <v>137</v>
      </c>
      <c r="C272" s="36" t="s">
        <v>101</v>
      </c>
      <c r="D272" s="37" t="s">
        <v>98</v>
      </c>
      <c r="E272" s="37" t="s">
        <v>124</v>
      </c>
      <c r="F272" s="37" t="s">
        <v>311</v>
      </c>
      <c r="G272" s="37" t="s">
        <v>155</v>
      </c>
      <c r="H272" s="183">
        <f>12.92+6.6+1.92</f>
        <v>21.439999999999998</v>
      </c>
      <c r="I272" s="183">
        <v>21.14</v>
      </c>
      <c r="J272" s="183">
        <v>21.14</v>
      </c>
      <c r="K272" s="183">
        <v>21.439999999999998</v>
      </c>
      <c r="L272" s="183">
        <v>21.14</v>
      </c>
      <c r="M272" s="183">
        <v>21.14</v>
      </c>
      <c r="N272" s="183"/>
      <c r="O272" s="183">
        <v>21.439999999999998</v>
      </c>
      <c r="P272" s="183">
        <v>21.14</v>
      </c>
      <c r="Q272" s="183">
        <v>21.14</v>
      </c>
      <c r="R272" s="472">
        <f t="shared" si="115"/>
        <v>0</v>
      </c>
      <c r="S272" s="472">
        <f t="shared" si="116"/>
        <v>0</v>
      </c>
      <c r="T272" s="472">
        <f t="shared" si="117"/>
        <v>0</v>
      </c>
      <c r="U272" s="182" t="s">
        <v>137</v>
      </c>
      <c r="V272" s="36" t="s">
        <v>101</v>
      </c>
      <c r="W272" s="37" t="s">
        <v>98</v>
      </c>
      <c r="X272" s="37" t="s">
        <v>124</v>
      </c>
      <c r="Y272" s="37" t="s">
        <v>311</v>
      </c>
      <c r="Z272" s="37" t="s">
        <v>155</v>
      </c>
      <c r="AA272" s="12" t="b">
        <f t="shared" si="118"/>
        <v>1</v>
      </c>
      <c r="AB272" s="12" t="b">
        <f t="shared" si="119"/>
        <v>1</v>
      </c>
      <c r="AC272" s="12" t="b">
        <f t="shared" si="120"/>
        <v>1</v>
      </c>
      <c r="AD272" s="12" t="b">
        <f t="shared" si="121"/>
        <v>1</v>
      </c>
      <c r="AE272" s="12" t="b">
        <f t="shared" si="122"/>
        <v>1</v>
      </c>
      <c r="AF272" s="12" t="b">
        <f t="shared" si="123"/>
        <v>1</v>
      </c>
    </row>
    <row r="273" spans="1:32" s="12" customFormat="1" ht="15.75" customHeight="1">
      <c r="A273" s="285"/>
      <c r="B273" s="182" t="s">
        <v>161</v>
      </c>
      <c r="C273" s="36" t="s">
        <v>101</v>
      </c>
      <c r="D273" s="37" t="s">
        <v>98</v>
      </c>
      <c r="E273" s="37" t="s">
        <v>124</v>
      </c>
      <c r="F273" s="37" t="s">
        <v>312</v>
      </c>
      <c r="G273" s="37" t="s">
        <v>90</v>
      </c>
      <c r="H273" s="183">
        <f>H274</f>
        <v>47793.840000000004</v>
      </c>
      <c r="I273" s="183">
        <f>I274</f>
        <v>47793.840000000004</v>
      </c>
      <c r="J273" s="183">
        <f>J274</f>
        <v>47793.840000000004</v>
      </c>
      <c r="K273" s="183">
        <v>47793.840000000004</v>
      </c>
      <c r="L273" s="183">
        <v>47793.840000000004</v>
      </c>
      <c r="M273" s="183">
        <v>47793.840000000004</v>
      </c>
      <c r="N273" s="183"/>
      <c r="O273" s="183">
        <v>47768.409999999996</v>
      </c>
      <c r="P273" s="183">
        <v>47768.409999999996</v>
      </c>
      <c r="Q273" s="183">
        <v>47768.409999999996</v>
      </c>
      <c r="R273" s="472">
        <f t="shared" si="115"/>
        <v>25.430000000007567</v>
      </c>
      <c r="S273" s="472">
        <f t="shared" si="116"/>
        <v>25.430000000007567</v>
      </c>
      <c r="T273" s="472">
        <f t="shared" si="117"/>
        <v>25.430000000007567</v>
      </c>
      <c r="U273" s="182" t="s">
        <v>161</v>
      </c>
      <c r="V273" s="36" t="s">
        <v>101</v>
      </c>
      <c r="W273" s="37" t="s">
        <v>98</v>
      </c>
      <c r="X273" s="37" t="s">
        <v>124</v>
      </c>
      <c r="Y273" s="37" t="s">
        <v>312</v>
      </c>
      <c r="Z273" s="37" t="s">
        <v>90</v>
      </c>
      <c r="AA273" s="12" t="b">
        <f t="shared" si="118"/>
        <v>1</v>
      </c>
      <c r="AB273" s="12" t="b">
        <f t="shared" si="119"/>
        <v>1</v>
      </c>
      <c r="AC273" s="12" t="b">
        <f t="shared" si="120"/>
        <v>1</v>
      </c>
      <c r="AD273" s="12" t="b">
        <f t="shared" si="121"/>
        <v>1</v>
      </c>
      <c r="AE273" s="12" t="b">
        <f t="shared" si="122"/>
        <v>1</v>
      </c>
      <c r="AF273" s="12" t="b">
        <f t="shared" si="123"/>
        <v>1</v>
      </c>
    </row>
    <row r="274" spans="1:32" s="12" customFormat="1" ht="15.75" customHeight="1">
      <c r="A274" s="285"/>
      <c r="B274" s="54" t="s">
        <v>144</v>
      </c>
      <c r="C274" s="56" t="s">
        <v>101</v>
      </c>
      <c r="D274" s="57" t="s">
        <v>98</v>
      </c>
      <c r="E274" s="57" t="s">
        <v>124</v>
      </c>
      <c r="F274" s="57" t="s">
        <v>312</v>
      </c>
      <c r="G274" s="57" t="s">
        <v>152</v>
      </c>
      <c r="H274" s="58">
        <f>47768.41+25.43</f>
        <v>47793.840000000004</v>
      </c>
      <c r="I274" s="58">
        <f t="shared" ref="I274:J274" si="126">47768.41+25.43</f>
        <v>47793.840000000004</v>
      </c>
      <c r="J274" s="58">
        <f t="shared" si="126"/>
        <v>47793.840000000004</v>
      </c>
      <c r="K274" s="58">
        <v>47793.840000000004</v>
      </c>
      <c r="L274" s="58">
        <v>47793.840000000004</v>
      </c>
      <c r="M274" s="58">
        <v>47793.840000000004</v>
      </c>
      <c r="N274" s="58"/>
      <c r="O274" s="58">
        <v>47768.409999999996</v>
      </c>
      <c r="P274" s="58">
        <v>47768.409999999996</v>
      </c>
      <c r="Q274" s="58">
        <v>47768.409999999996</v>
      </c>
      <c r="R274" s="472">
        <f t="shared" si="115"/>
        <v>25.430000000007567</v>
      </c>
      <c r="S274" s="472">
        <f t="shared" si="116"/>
        <v>25.430000000007567</v>
      </c>
      <c r="T274" s="472">
        <f t="shared" si="117"/>
        <v>25.430000000007567</v>
      </c>
      <c r="U274" s="54" t="s">
        <v>144</v>
      </c>
      <c r="V274" s="56" t="s">
        <v>101</v>
      </c>
      <c r="W274" s="57" t="s">
        <v>98</v>
      </c>
      <c r="X274" s="57" t="s">
        <v>124</v>
      </c>
      <c r="Y274" s="57" t="s">
        <v>312</v>
      </c>
      <c r="Z274" s="57" t="s">
        <v>152</v>
      </c>
      <c r="AA274" s="12" t="b">
        <f t="shared" si="118"/>
        <v>1</v>
      </c>
      <c r="AB274" s="12" t="b">
        <f t="shared" si="119"/>
        <v>1</v>
      </c>
      <c r="AC274" s="12" t="b">
        <f t="shared" si="120"/>
        <v>1</v>
      </c>
      <c r="AD274" s="12" t="b">
        <f t="shared" si="121"/>
        <v>1</v>
      </c>
      <c r="AE274" s="12" t="b">
        <f t="shared" si="122"/>
        <v>1</v>
      </c>
      <c r="AF274" s="12" t="b">
        <f t="shared" si="123"/>
        <v>1</v>
      </c>
    </row>
    <row r="275" spans="1:32" s="12" customFormat="1" ht="15.75" customHeight="1">
      <c r="A275" s="285"/>
      <c r="B275" s="182" t="s">
        <v>607</v>
      </c>
      <c r="C275" s="36" t="s">
        <v>101</v>
      </c>
      <c r="D275" s="37" t="s">
        <v>98</v>
      </c>
      <c r="E275" s="37" t="s">
        <v>124</v>
      </c>
      <c r="F275" s="37" t="s">
        <v>604</v>
      </c>
      <c r="G275" s="37" t="s">
        <v>90</v>
      </c>
      <c r="H275" s="183">
        <f>H276</f>
        <v>9.9</v>
      </c>
      <c r="I275" s="183">
        <f>I276</f>
        <v>9.9</v>
      </c>
      <c r="J275" s="183">
        <f>J276</f>
        <v>9.9</v>
      </c>
      <c r="K275" s="183">
        <v>9.9</v>
      </c>
      <c r="L275" s="183">
        <v>9.9</v>
      </c>
      <c r="M275" s="183">
        <v>9.9</v>
      </c>
      <c r="N275" s="183"/>
      <c r="O275" s="183">
        <v>9.9</v>
      </c>
      <c r="P275" s="183">
        <v>9.9</v>
      </c>
      <c r="Q275" s="183">
        <v>9.9</v>
      </c>
      <c r="R275" s="472">
        <f t="shared" si="115"/>
        <v>0</v>
      </c>
      <c r="S275" s="472">
        <f t="shared" si="116"/>
        <v>0</v>
      </c>
      <c r="T275" s="472">
        <f t="shared" si="117"/>
        <v>0</v>
      </c>
      <c r="U275" s="182" t="s">
        <v>607</v>
      </c>
      <c r="V275" s="36" t="s">
        <v>101</v>
      </c>
      <c r="W275" s="37" t="s">
        <v>98</v>
      </c>
      <c r="X275" s="37" t="s">
        <v>124</v>
      </c>
      <c r="Y275" s="37" t="s">
        <v>604</v>
      </c>
      <c r="Z275" s="37" t="s">
        <v>90</v>
      </c>
      <c r="AA275" s="12" t="b">
        <f t="shared" si="118"/>
        <v>1</v>
      </c>
      <c r="AB275" s="12" t="b">
        <f t="shared" si="119"/>
        <v>1</v>
      </c>
      <c r="AC275" s="12" t="b">
        <f t="shared" si="120"/>
        <v>1</v>
      </c>
      <c r="AD275" s="12" t="b">
        <f t="shared" si="121"/>
        <v>1</v>
      </c>
      <c r="AE275" s="12" t="b">
        <f t="shared" si="122"/>
        <v>1</v>
      </c>
      <c r="AF275" s="12" t="b">
        <f t="shared" si="123"/>
        <v>1</v>
      </c>
    </row>
    <row r="276" spans="1:32" s="12" customFormat="1" ht="15.75" customHeight="1">
      <c r="A276" s="285"/>
      <c r="B276" s="182" t="s">
        <v>608</v>
      </c>
      <c r="C276" s="36" t="s">
        <v>101</v>
      </c>
      <c r="D276" s="37" t="s">
        <v>98</v>
      </c>
      <c r="E276" s="37" t="s">
        <v>124</v>
      </c>
      <c r="F276" s="37" t="s">
        <v>605</v>
      </c>
      <c r="G276" s="37" t="s">
        <v>90</v>
      </c>
      <c r="H276" s="183">
        <f t="shared" ref="H276:J277" si="127">H277</f>
        <v>9.9</v>
      </c>
      <c r="I276" s="183">
        <f t="shared" si="127"/>
        <v>9.9</v>
      </c>
      <c r="J276" s="183">
        <f t="shared" si="127"/>
        <v>9.9</v>
      </c>
      <c r="K276" s="183">
        <v>9.9</v>
      </c>
      <c r="L276" s="183">
        <v>9.9</v>
      </c>
      <c r="M276" s="183">
        <v>9.9</v>
      </c>
      <c r="N276" s="183"/>
      <c r="O276" s="183">
        <v>9.9</v>
      </c>
      <c r="P276" s="183">
        <v>9.9</v>
      </c>
      <c r="Q276" s="183">
        <v>9.9</v>
      </c>
      <c r="R276" s="472">
        <f t="shared" si="115"/>
        <v>0</v>
      </c>
      <c r="S276" s="472">
        <f t="shared" si="116"/>
        <v>0</v>
      </c>
      <c r="T276" s="472">
        <f t="shared" si="117"/>
        <v>0</v>
      </c>
      <c r="U276" s="182" t="s">
        <v>608</v>
      </c>
      <c r="V276" s="36" t="s">
        <v>101</v>
      </c>
      <c r="W276" s="37" t="s">
        <v>98</v>
      </c>
      <c r="X276" s="37" t="s">
        <v>124</v>
      </c>
      <c r="Y276" s="37" t="s">
        <v>605</v>
      </c>
      <c r="Z276" s="37" t="s">
        <v>90</v>
      </c>
      <c r="AA276" s="12" t="b">
        <f t="shared" si="118"/>
        <v>1</v>
      </c>
      <c r="AB276" s="12" t="b">
        <f t="shared" si="119"/>
        <v>1</v>
      </c>
      <c r="AC276" s="12" t="b">
        <f t="shared" si="120"/>
        <v>1</v>
      </c>
      <c r="AD276" s="12" t="b">
        <f t="shared" si="121"/>
        <v>1</v>
      </c>
      <c r="AE276" s="12" t="b">
        <f t="shared" si="122"/>
        <v>1</v>
      </c>
      <c r="AF276" s="12" t="b">
        <f t="shared" si="123"/>
        <v>1</v>
      </c>
    </row>
    <row r="277" spans="1:32" s="12" customFormat="1" ht="15.75" customHeight="1">
      <c r="A277" s="285"/>
      <c r="B277" s="182" t="s">
        <v>867</v>
      </c>
      <c r="C277" s="36" t="s">
        <v>101</v>
      </c>
      <c r="D277" s="37" t="s">
        <v>98</v>
      </c>
      <c r="E277" s="37" t="s">
        <v>124</v>
      </c>
      <c r="F277" s="37" t="s">
        <v>1018</v>
      </c>
      <c r="G277" s="37" t="s">
        <v>90</v>
      </c>
      <c r="H277" s="183">
        <f t="shared" si="127"/>
        <v>9.9</v>
      </c>
      <c r="I277" s="183">
        <f t="shared" si="127"/>
        <v>9.9</v>
      </c>
      <c r="J277" s="183">
        <f t="shared" si="127"/>
        <v>9.9</v>
      </c>
      <c r="K277" s="183">
        <v>9.9</v>
      </c>
      <c r="L277" s="183">
        <v>9.9</v>
      </c>
      <c r="M277" s="183">
        <v>9.9</v>
      </c>
      <c r="N277" s="183"/>
      <c r="O277" s="183">
        <v>9.9</v>
      </c>
      <c r="P277" s="183">
        <v>9.9</v>
      </c>
      <c r="Q277" s="183">
        <v>9.9</v>
      </c>
      <c r="R277" s="472">
        <f t="shared" si="115"/>
        <v>0</v>
      </c>
      <c r="S277" s="472">
        <f t="shared" si="116"/>
        <v>0</v>
      </c>
      <c r="T277" s="472">
        <f t="shared" si="117"/>
        <v>0</v>
      </c>
      <c r="U277" s="182" t="s">
        <v>867</v>
      </c>
      <c r="V277" s="36" t="s">
        <v>101</v>
      </c>
      <c r="W277" s="37" t="s">
        <v>98</v>
      </c>
      <c r="X277" s="37" t="s">
        <v>124</v>
      </c>
      <c r="Y277" s="37" t="s">
        <v>1018</v>
      </c>
      <c r="Z277" s="37" t="s">
        <v>90</v>
      </c>
      <c r="AA277" s="12" t="b">
        <f t="shared" si="118"/>
        <v>1</v>
      </c>
      <c r="AB277" s="12" t="b">
        <f t="shared" si="119"/>
        <v>1</v>
      </c>
      <c r="AC277" s="12" t="b">
        <f t="shared" si="120"/>
        <v>1</v>
      </c>
      <c r="AD277" s="12" t="b">
        <f t="shared" si="121"/>
        <v>1</v>
      </c>
      <c r="AE277" s="12" t="b">
        <f t="shared" si="122"/>
        <v>1</v>
      </c>
      <c r="AF277" s="12" t="b">
        <f t="shared" si="123"/>
        <v>1</v>
      </c>
    </row>
    <row r="278" spans="1:32" s="12" customFormat="1" ht="15.75" customHeight="1">
      <c r="A278" s="285"/>
      <c r="B278" s="182" t="s">
        <v>145</v>
      </c>
      <c r="C278" s="36" t="s">
        <v>101</v>
      </c>
      <c r="D278" s="37" t="s">
        <v>98</v>
      </c>
      <c r="E278" s="37" t="s">
        <v>124</v>
      </c>
      <c r="F278" s="37" t="s">
        <v>1018</v>
      </c>
      <c r="G278" s="37" t="s">
        <v>153</v>
      </c>
      <c r="H278" s="183">
        <v>9.9</v>
      </c>
      <c r="I278" s="183">
        <v>9.9</v>
      </c>
      <c r="J278" s="183">
        <v>9.9</v>
      </c>
      <c r="K278" s="183">
        <v>9.9</v>
      </c>
      <c r="L278" s="183">
        <v>9.9</v>
      </c>
      <c r="M278" s="183">
        <v>9.9</v>
      </c>
      <c r="N278" s="183"/>
      <c r="O278" s="183">
        <v>9.9</v>
      </c>
      <c r="P278" s="183">
        <v>9.9</v>
      </c>
      <c r="Q278" s="183">
        <v>9.9</v>
      </c>
      <c r="R278" s="472">
        <f t="shared" si="115"/>
        <v>0</v>
      </c>
      <c r="S278" s="472">
        <f t="shared" si="116"/>
        <v>0</v>
      </c>
      <c r="T278" s="472">
        <f t="shared" si="117"/>
        <v>0</v>
      </c>
      <c r="U278" s="182" t="s">
        <v>145</v>
      </c>
      <c r="V278" s="36" t="s">
        <v>101</v>
      </c>
      <c r="W278" s="37" t="s">
        <v>98</v>
      </c>
      <c r="X278" s="37" t="s">
        <v>124</v>
      </c>
      <c r="Y278" s="37" t="s">
        <v>1018</v>
      </c>
      <c r="Z278" s="37" t="s">
        <v>153</v>
      </c>
      <c r="AA278" s="12" t="b">
        <f t="shared" si="118"/>
        <v>1</v>
      </c>
      <c r="AB278" s="12" t="b">
        <f t="shared" si="119"/>
        <v>1</v>
      </c>
      <c r="AC278" s="12" t="b">
        <f t="shared" si="120"/>
        <v>1</v>
      </c>
      <c r="AD278" s="12" t="b">
        <f t="shared" si="121"/>
        <v>1</v>
      </c>
      <c r="AE278" s="12" t="b">
        <f t="shared" si="122"/>
        <v>1</v>
      </c>
      <c r="AF278" s="12" t="b">
        <f t="shared" si="123"/>
        <v>1</v>
      </c>
    </row>
    <row r="279" spans="1:32" s="12" customFormat="1" ht="15.75" customHeight="1">
      <c r="A279" s="285"/>
      <c r="B279" s="28" t="s">
        <v>67</v>
      </c>
      <c r="C279" s="29" t="s">
        <v>101</v>
      </c>
      <c r="D279" s="30" t="s">
        <v>69</v>
      </c>
      <c r="E279" s="30" t="s">
        <v>83</v>
      </c>
      <c r="F279" s="30" t="s">
        <v>223</v>
      </c>
      <c r="G279" s="30" t="s">
        <v>90</v>
      </c>
      <c r="H279" s="31">
        <f t="shared" ref="H279:J280" si="128">H280</f>
        <v>5647.5</v>
      </c>
      <c r="I279" s="31">
        <f t="shared" si="128"/>
        <v>5647.5</v>
      </c>
      <c r="J279" s="31">
        <f t="shared" si="128"/>
        <v>5647.5</v>
      </c>
      <c r="K279" s="31">
        <v>5647.5</v>
      </c>
      <c r="L279" s="31">
        <v>5647.5</v>
      </c>
      <c r="M279" s="31">
        <v>5647.5</v>
      </c>
      <c r="N279" s="31"/>
      <c r="O279" s="31">
        <v>5647.5</v>
      </c>
      <c r="P279" s="31">
        <v>5647.5</v>
      </c>
      <c r="Q279" s="31">
        <v>5647.5</v>
      </c>
      <c r="R279" s="472">
        <f t="shared" si="115"/>
        <v>0</v>
      </c>
      <c r="S279" s="472">
        <f t="shared" si="116"/>
        <v>0</v>
      </c>
      <c r="T279" s="472">
        <f t="shared" si="117"/>
        <v>0</v>
      </c>
      <c r="U279" s="28" t="s">
        <v>67</v>
      </c>
      <c r="V279" s="29" t="s">
        <v>101</v>
      </c>
      <c r="W279" s="30" t="s">
        <v>69</v>
      </c>
      <c r="X279" s="30" t="s">
        <v>83</v>
      </c>
      <c r="Y279" s="30" t="s">
        <v>223</v>
      </c>
      <c r="Z279" s="30" t="s">
        <v>90</v>
      </c>
      <c r="AA279" s="12" t="b">
        <f t="shared" si="118"/>
        <v>1</v>
      </c>
      <c r="AB279" s="12" t="b">
        <f t="shared" si="119"/>
        <v>1</v>
      </c>
      <c r="AC279" s="12" t="b">
        <f t="shared" si="120"/>
        <v>1</v>
      </c>
      <c r="AD279" s="12" t="b">
        <f t="shared" si="121"/>
        <v>1</v>
      </c>
      <c r="AE279" s="12" t="b">
        <f t="shared" si="122"/>
        <v>1</v>
      </c>
      <c r="AF279" s="12" t="b">
        <f t="shared" si="123"/>
        <v>1</v>
      </c>
    </row>
    <row r="280" spans="1:32" s="12" customFormat="1" ht="15.75" customHeight="1">
      <c r="A280" s="285"/>
      <c r="B280" s="32" t="s">
        <v>38</v>
      </c>
      <c r="C280" s="33" t="s">
        <v>101</v>
      </c>
      <c r="D280" s="34" t="s">
        <v>69</v>
      </c>
      <c r="E280" s="34" t="s">
        <v>72</v>
      </c>
      <c r="F280" s="34" t="s">
        <v>223</v>
      </c>
      <c r="G280" s="34" t="s">
        <v>90</v>
      </c>
      <c r="H280" s="35">
        <f t="shared" si="128"/>
        <v>5647.5</v>
      </c>
      <c r="I280" s="35">
        <f t="shared" si="128"/>
        <v>5647.5</v>
      </c>
      <c r="J280" s="35">
        <f t="shared" si="128"/>
        <v>5647.5</v>
      </c>
      <c r="K280" s="35">
        <v>5647.5</v>
      </c>
      <c r="L280" s="35">
        <v>5647.5</v>
      </c>
      <c r="M280" s="35">
        <v>5647.5</v>
      </c>
      <c r="N280" s="35"/>
      <c r="O280" s="35">
        <v>5647.5</v>
      </c>
      <c r="P280" s="35">
        <v>5647.5</v>
      </c>
      <c r="Q280" s="35">
        <v>5647.5</v>
      </c>
      <c r="R280" s="472">
        <f t="shared" si="115"/>
        <v>0</v>
      </c>
      <c r="S280" s="472">
        <f t="shared" si="116"/>
        <v>0</v>
      </c>
      <c r="T280" s="472">
        <f t="shared" si="117"/>
        <v>0</v>
      </c>
      <c r="U280" s="32" t="s">
        <v>38</v>
      </c>
      <c r="V280" s="33" t="s">
        <v>101</v>
      </c>
      <c r="W280" s="34" t="s">
        <v>69</v>
      </c>
      <c r="X280" s="34" t="s">
        <v>72</v>
      </c>
      <c r="Y280" s="34" t="s">
        <v>223</v>
      </c>
      <c r="Z280" s="34" t="s">
        <v>90</v>
      </c>
      <c r="AA280" s="12" t="b">
        <f t="shared" si="118"/>
        <v>1</v>
      </c>
      <c r="AB280" s="12" t="b">
        <f t="shared" si="119"/>
        <v>1</v>
      </c>
      <c r="AC280" s="12" t="b">
        <f t="shared" si="120"/>
        <v>1</v>
      </c>
      <c r="AD280" s="12" t="b">
        <f t="shared" si="121"/>
        <v>1</v>
      </c>
      <c r="AE280" s="12" t="b">
        <f t="shared" si="122"/>
        <v>1</v>
      </c>
      <c r="AF280" s="12" t="b">
        <f t="shared" si="123"/>
        <v>1</v>
      </c>
    </row>
    <row r="281" spans="1:32" s="12" customFormat="1" ht="15.75" customHeight="1">
      <c r="A281" s="285"/>
      <c r="B281" s="182" t="s">
        <v>664</v>
      </c>
      <c r="C281" s="36" t="s">
        <v>101</v>
      </c>
      <c r="D281" s="37" t="s">
        <v>69</v>
      </c>
      <c r="E281" s="37" t="s">
        <v>72</v>
      </c>
      <c r="F281" s="37" t="s">
        <v>241</v>
      </c>
      <c r="G281" s="37" t="s">
        <v>90</v>
      </c>
      <c r="H281" s="183">
        <f>H282+H293</f>
        <v>5647.5</v>
      </c>
      <c r="I281" s="183">
        <f>I282+I293</f>
        <v>5647.5</v>
      </c>
      <c r="J281" s="183">
        <f>J282+J293</f>
        <v>5647.5</v>
      </c>
      <c r="K281" s="183">
        <v>5647.5</v>
      </c>
      <c r="L281" s="183">
        <v>5647.5</v>
      </c>
      <c r="M281" s="183">
        <v>5647.5</v>
      </c>
      <c r="N281" s="183"/>
      <c r="O281" s="183">
        <v>5647.5</v>
      </c>
      <c r="P281" s="183">
        <v>5647.5</v>
      </c>
      <c r="Q281" s="183">
        <v>5647.5</v>
      </c>
      <c r="R281" s="472">
        <f t="shared" si="115"/>
        <v>0</v>
      </c>
      <c r="S281" s="472">
        <f t="shared" si="116"/>
        <v>0</v>
      </c>
      <c r="T281" s="472">
        <f t="shared" si="117"/>
        <v>0</v>
      </c>
      <c r="U281" s="182" t="s">
        <v>664</v>
      </c>
      <c r="V281" s="36" t="s">
        <v>101</v>
      </c>
      <c r="W281" s="37" t="s">
        <v>69</v>
      </c>
      <c r="X281" s="37" t="s">
        <v>72</v>
      </c>
      <c r="Y281" s="37" t="s">
        <v>241</v>
      </c>
      <c r="Z281" s="37" t="s">
        <v>90</v>
      </c>
      <c r="AA281" s="12" t="b">
        <f t="shared" si="118"/>
        <v>1</v>
      </c>
      <c r="AB281" s="12" t="b">
        <f t="shared" si="119"/>
        <v>1</v>
      </c>
      <c r="AC281" s="12" t="b">
        <f t="shared" si="120"/>
        <v>1</v>
      </c>
      <c r="AD281" s="12" t="b">
        <f t="shared" si="121"/>
        <v>1</v>
      </c>
      <c r="AE281" s="12" t="b">
        <f t="shared" si="122"/>
        <v>1</v>
      </c>
      <c r="AF281" s="12" t="b">
        <f t="shared" si="123"/>
        <v>1</v>
      </c>
    </row>
    <row r="282" spans="1:32" s="12" customFormat="1" ht="15.75" customHeight="1">
      <c r="A282" s="285"/>
      <c r="B282" s="182" t="s">
        <v>183</v>
      </c>
      <c r="C282" s="36" t="s">
        <v>101</v>
      </c>
      <c r="D282" s="37" t="s">
        <v>69</v>
      </c>
      <c r="E282" s="37" t="s">
        <v>72</v>
      </c>
      <c r="F282" s="37" t="s">
        <v>268</v>
      </c>
      <c r="G282" s="37" t="s">
        <v>90</v>
      </c>
      <c r="H282" s="183">
        <f>H283+H286+H290</f>
        <v>5067</v>
      </c>
      <c r="I282" s="183">
        <f>I283+I286+I290</f>
        <v>5067</v>
      </c>
      <c r="J282" s="183">
        <f>J283+J286+J290</f>
        <v>5067</v>
      </c>
      <c r="K282" s="183">
        <v>5067</v>
      </c>
      <c r="L282" s="183">
        <v>5067</v>
      </c>
      <c r="M282" s="183">
        <v>5067</v>
      </c>
      <c r="N282" s="183"/>
      <c r="O282" s="183">
        <v>5067</v>
      </c>
      <c r="P282" s="183">
        <v>5067</v>
      </c>
      <c r="Q282" s="183">
        <v>5067</v>
      </c>
      <c r="R282" s="472">
        <f t="shared" si="115"/>
        <v>0</v>
      </c>
      <c r="S282" s="472">
        <f t="shared" si="116"/>
        <v>0</v>
      </c>
      <c r="T282" s="472">
        <f t="shared" si="117"/>
        <v>0</v>
      </c>
      <c r="U282" s="182" t="s">
        <v>183</v>
      </c>
      <c r="V282" s="36" t="s">
        <v>101</v>
      </c>
      <c r="W282" s="37" t="s">
        <v>69</v>
      </c>
      <c r="X282" s="37" t="s">
        <v>72</v>
      </c>
      <c r="Y282" s="37" t="s">
        <v>268</v>
      </c>
      <c r="Z282" s="37" t="s">
        <v>90</v>
      </c>
      <c r="AA282" s="12" t="b">
        <f t="shared" si="118"/>
        <v>1</v>
      </c>
      <c r="AB282" s="12" t="b">
        <f t="shared" si="119"/>
        <v>1</v>
      </c>
      <c r="AC282" s="12" t="b">
        <f t="shared" si="120"/>
        <v>1</v>
      </c>
      <c r="AD282" s="12" t="b">
        <f t="shared" si="121"/>
        <v>1</v>
      </c>
      <c r="AE282" s="12" t="b">
        <f t="shared" si="122"/>
        <v>1</v>
      </c>
      <c r="AF282" s="12" t="b">
        <f t="shared" si="123"/>
        <v>1</v>
      </c>
    </row>
    <row r="283" spans="1:32" s="12" customFormat="1" ht="15.75" customHeight="1">
      <c r="A283" s="285"/>
      <c r="B283" s="182" t="s">
        <v>517</v>
      </c>
      <c r="C283" s="36" t="s">
        <v>101</v>
      </c>
      <c r="D283" s="37" t="s">
        <v>69</v>
      </c>
      <c r="E283" s="37" t="s">
        <v>72</v>
      </c>
      <c r="F283" s="37" t="s">
        <v>269</v>
      </c>
      <c r="G283" s="37" t="s">
        <v>90</v>
      </c>
      <c r="H283" s="183">
        <f t="shared" ref="H283:J284" si="129">H284</f>
        <v>3510</v>
      </c>
      <c r="I283" s="183">
        <f t="shared" si="129"/>
        <v>3510</v>
      </c>
      <c r="J283" s="183">
        <f t="shared" si="129"/>
        <v>3510</v>
      </c>
      <c r="K283" s="183">
        <v>3510</v>
      </c>
      <c r="L283" s="183">
        <v>3510</v>
      </c>
      <c r="M283" s="183">
        <v>3510</v>
      </c>
      <c r="N283" s="183"/>
      <c r="O283" s="183">
        <v>3510</v>
      </c>
      <c r="P283" s="183">
        <v>3510</v>
      </c>
      <c r="Q283" s="183">
        <v>3510</v>
      </c>
      <c r="R283" s="472">
        <f t="shared" si="115"/>
        <v>0</v>
      </c>
      <c r="S283" s="472">
        <f t="shared" si="116"/>
        <v>0</v>
      </c>
      <c r="T283" s="472">
        <f t="shared" si="117"/>
        <v>0</v>
      </c>
      <c r="U283" s="182" t="s">
        <v>517</v>
      </c>
      <c r="V283" s="36" t="s">
        <v>101</v>
      </c>
      <c r="W283" s="37" t="s">
        <v>69</v>
      </c>
      <c r="X283" s="37" t="s">
        <v>72</v>
      </c>
      <c r="Y283" s="37" t="s">
        <v>269</v>
      </c>
      <c r="Z283" s="37" t="s">
        <v>90</v>
      </c>
      <c r="AA283" s="12" t="b">
        <f t="shared" si="118"/>
        <v>1</v>
      </c>
      <c r="AB283" s="12" t="b">
        <f t="shared" si="119"/>
        <v>1</v>
      </c>
      <c r="AC283" s="12" t="b">
        <f t="shared" si="120"/>
        <v>1</v>
      </c>
      <c r="AD283" s="12" t="b">
        <f t="shared" si="121"/>
        <v>1</v>
      </c>
      <c r="AE283" s="12" t="b">
        <f t="shared" si="122"/>
        <v>1</v>
      </c>
      <c r="AF283" s="12" t="b">
        <f t="shared" si="123"/>
        <v>1</v>
      </c>
    </row>
    <row r="284" spans="1:32" s="12" customFormat="1" ht="15.75" customHeight="1">
      <c r="A284" s="285"/>
      <c r="B284" s="182" t="s">
        <v>270</v>
      </c>
      <c r="C284" s="36" t="s">
        <v>101</v>
      </c>
      <c r="D284" s="37" t="s">
        <v>69</v>
      </c>
      <c r="E284" s="37" t="s">
        <v>72</v>
      </c>
      <c r="F284" s="37" t="s">
        <v>271</v>
      </c>
      <c r="G284" s="37" t="s">
        <v>90</v>
      </c>
      <c r="H284" s="183">
        <f t="shared" si="129"/>
        <v>3510</v>
      </c>
      <c r="I284" s="183">
        <f t="shared" si="129"/>
        <v>3510</v>
      </c>
      <c r="J284" s="183">
        <f t="shared" si="129"/>
        <v>3510</v>
      </c>
      <c r="K284" s="183">
        <v>3510</v>
      </c>
      <c r="L284" s="183">
        <v>3510</v>
      </c>
      <c r="M284" s="183">
        <v>3510</v>
      </c>
      <c r="N284" s="183"/>
      <c r="O284" s="183">
        <v>3510</v>
      </c>
      <c r="P284" s="183">
        <v>3510</v>
      </c>
      <c r="Q284" s="183">
        <v>3510</v>
      </c>
      <c r="R284" s="472">
        <f t="shared" si="115"/>
        <v>0</v>
      </c>
      <c r="S284" s="472">
        <f t="shared" si="116"/>
        <v>0</v>
      </c>
      <c r="T284" s="472">
        <f t="shared" si="117"/>
        <v>0</v>
      </c>
      <c r="U284" s="182" t="s">
        <v>270</v>
      </c>
      <c r="V284" s="36" t="s">
        <v>101</v>
      </c>
      <c r="W284" s="37" t="s">
        <v>69</v>
      </c>
      <c r="X284" s="37" t="s">
        <v>72</v>
      </c>
      <c r="Y284" s="37" t="s">
        <v>271</v>
      </c>
      <c r="Z284" s="37" t="s">
        <v>90</v>
      </c>
      <c r="AA284" s="12" t="b">
        <f t="shared" si="118"/>
        <v>1</v>
      </c>
      <c r="AB284" s="12" t="b">
        <f t="shared" si="119"/>
        <v>1</v>
      </c>
      <c r="AC284" s="12" t="b">
        <f t="shared" si="120"/>
        <v>1</v>
      </c>
      <c r="AD284" s="12" t="b">
        <f t="shared" si="121"/>
        <v>1</v>
      </c>
      <c r="AE284" s="12" t="b">
        <f t="shared" si="122"/>
        <v>1</v>
      </c>
      <c r="AF284" s="12" t="b">
        <f t="shared" si="123"/>
        <v>1</v>
      </c>
    </row>
    <row r="285" spans="1:32" s="12" customFormat="1" ht="15.75" customHeight="1">
      <c r="A285" s="285"/>
      <c r="B285" s="68" t="s">
        <v>492</v>
      </c>
      <c r="C285" s="36" t="s">
        <v>101</v>
      </c>
      <c r="D285" s="37" t="s">
        <v>69</v>
      </c>
      <c r="E285" s="37" t="s">
        <v>72</v>
      </c>
      <c r="F285" s="37" t="s">
        <v>271</v>
      </c>
      <c r="G285" s="37" t="s">
        <v>139</v>
      </c>
      <c r="H285" s="183">
        <v>3510</v>
      </c>
      <c r="I285" s="183">
        <v>3510</v>
      </c>
      <c r="J285" s="183">
        <v>3510</v>
      </c>
      <c r="K285" s="183">
        <v>3510</v>
      </c>
      <c r="L285" s="183">
        <v>3510</v>
      </c>
      <c r="M285" s="183">
        <v>3510</v>
      </c>
      <c r="N285" s="183"/>
      <c r="O285" s="183">
        <v>3510</v>
      </c>
      <c r="P285" s="183">
        <v>3510</v>
      </c>
      <c r="Q285" s="183">
        <v>3510</v>
      </c>
      <c r="R285" s="472">
        <f t="shared" si="115"/>
        <v>0</v>
      </c>
      <c r="S285" s="472">
        <f t="shared" si="116"/>
        <v>0</v>
      </c>
      <c r="T285" s="472">
        <f t="shared" si="117"/>
        <v>0</v>
      </c>
      <c r="U285" s="68" t="s">
        <v>492</v>
      </c>
      <c r="V285" s="36" t="s">
        <v>101</v>
      </c>
      <c r="W285" s="37" t="s">
        <v>69</v>
      </c>
      <c r="X285" s="37" t="s">
        <v>72</v>
      </c>
      <c r="Y285" s="37" t="s">
        <v>271</v>
      </c>
      <c r="Z285" s="37" t="s">
        <v>139</v>
      </c>
      <c r="AA285" s="12" t="b">
        <f t="shared" si="118"/>
        <v>1</v>
      </c>
      <c r="AB285" s="12" t="b">
        <f t="shared" si="119"/>
        <v>1</v>
      </c>
      <c r="AC285" s="12" t="b">
        <f t="shared" si="120"/>
        <v>1</v>
      </c>
      <c r="AD285" s="12" t="b">
        <f t="shared" si="121"/>
        <v>1</v>
      </c>
      <c r="AE285" s="12" t="b">
        <f t="shared" si="122"/>
        <v>1</v>
      </c>
      <c r="AF285" s="12" t="b">
        <f t="shared" si="123"/>
        <v>1</v>
      </c>
    </row>
    <row r="286" spans="1:32" s="12" customFormat="1" ht="15.75" customHeight="1">
      <c r="A286" s="285"/>
      <c r="B286" s="182" t="s">
        <v>272</v>
      </c>
      <c r="C286" s="36" t="s">
        <v>101</v>
      </c>
      <c r="D286" s="37" t="s">
        <v>69</v>
      </c>
      <c r="E286" s="37" t="s">
        <v>72</v>
      </c>
      <c r="F286" s="37" t="s">
        <v>273</v>
      </c>
      <c r="G286" s="37" t="s">
        <v>90</v>
      </c>
      <c r="H286" s="183">
        <f>H287</f>
        <v>1150</v>
      </c>
      <c r="I286" s="183">
        <f>I287</f>
        <v>1150</v>
      </c>
      <c r="J286" s="183">
        <f>J287</f>
        <v>1150</v>
      </c>
      <c r="K286" s="183">
        <v>1150</v>
      </c>
      <c r="L286" s="183">
        <v>1150</v>
      </c>
      <c r="M286" s="183">
        <v>1150</v>
      </c>
      <c r="N286" s="183"/>
      <c r="O286" s="183">
        <v>1150</v>
      </c>
      <c r="P286" s="183">
        <v>1150</v>
      </c>
      <c r="Q286" s="183">
        <v>1150</v>
      </c>
      <c r="R286" s="472">
        <f t="shared" si="115"/>
        <v>0</v>
      </c>
      <c r="S286" s="472">
        <f t="shared" si="116"/>
        <v>0</v>
      </c>
      <c r="T286" s="472">
        <f t="shared" si="117"/>
        <v>0</v>
      </c>
      <c r="U286" s="182" t="s">
        <v>272</v>
      </c>
      <c r="V286" s="36" t="s">
        <v>101</v>
      </c>
      <c r="W286" s="37" t="s">
        <v>69</v>
      </c>
      <c r="X286" s="37" t="s">
        <v>72</v>
      </c>
      <c r="Y286" s="37" t="s">
        <v>273</v>
      </c>
      <c r="Z286" s="37" t="s">
        <v>90</v>
      </c>
      <c r="AA286" s="12" t="b">
        <f t="shared" si="118"/>
        <v>1</v>
      </c>
      <c r="AB286" s="12" t="b">
        <f t="shared" si="119"/>
        <v>1</v>
      </c>
      <c r="AC286" s="12" t="b">
        <f t="shared" si="120"/>
        <v>1</v>
      </c>
      <c r="AD286" s="12" t="b">
        <f t="shared" si="121"/>
        <v>1</v>
      </c>
      <c r="AE286" s="12" t="b">
        <f t="shared" si="122"/>
        <v>1</v>
      </c>
      <c r="AF286" s="12" t="b">
        <f t="shared" si="123"/>
        <v>1</v>
      </c>
    </row>
    <row r="287" spans="1:32" s="12" customFormat="1" ht="15.75" customHeight="1">
      <c r="A287" s="285"/>
      <c r="B287" s="182" t="s">
        <v>746</v>
      </c>
      <c r="C287" s="36" t="s">
        <v>101</v>
      </c>
      <c r="D287" s="37" t="s">
        <v>69</v>
      </c>
      <c r="E287" s="37" t="s">
        <v>72</v>
      </c>
      <c r="F287" s="37" t="s">
        <v>274</v>
      </c>
      <c r="G287" s="37" t="s">
        <v>90</v>
      </c>
      <c r="H287" s="183">
        <f>H288+H289</f>
        <v>1150</v>
      </c>
      <c r="I287" s="183">
        <f>I288+I289</f>
        <v>1150</v>
      </c>
      <c r="J287" s="183">
        <f>J288+J289</f>
        <v>1150</v>
      </c>
      <c r="K287" s="183">
        <v>1150</v>
      </c>
      <c r="L287" s="183">
        <v>1150</v>
      </c>
      <c r="M287" s="183">
        <v>1150</v>
      </c>
      <c r="N287" s="183"/>
      <c r="O287" s="183">
        <v>1150</v>
      </c>
      <c r="P287" s="183">
        <v>1150</v>
      </c>
      <c r="Q287" s="183">
        <v>1150</v>
      </c>
      <c r="R287" s="472">
        <f t="shared" si="115"/>
        <v>0</v>
      </c>
      <c r="S287" s="472">
        <f t="shared" si="116"/>
        <v>0</v>
      </c>
      <c r="T287" s="472">
        <f t="shared" si="117"/>
        <v>0</v>
      </c>
      <c r="U287" s="182" t="s">
        <v>746</v>
      </c>
      <c r="V287" s="36" t="s">
        <v>101</v>
      </c>
      <c r="W287" s="37" t="s">
        <v>69</v>
      </c>
      <c r="X287" s="37" t="s">
        <v>72</v>
      </c>
      <c r="Y287" s="37" t="s">
        <v>274</v>
      </c>
      <c r="Z287" s="37" t="s">
        <v>90</v>
      </c>
      <c r="AA287" s="12" t="b">
        <f t="shared" si="118"/>
        <v>1</v>
      </c>
      <c r="AB287" s="12" t="b">
        <f t="shared" si="119"/>
        <v>1</v>
      </c>
      <c r="AC287" s="12" t="b">
        <f t="shared" si="120"/>
        <v>1</v>
      </c>
      <c r="AD287" s="12" t="b">
        <f t="shared" si="121"/>
        <v>1</v>
      </c>
      <c r="AE287" s="12" t="b">
        <f t="shared" si="122"/>
        <v>1</v>
      </c>
      <c r="AF287" s="12" t="b">
        <f t="shared" si="123"/>
        <v>1</v>
      </c>
    </row>
    <row r="288" spans="1:32" s="12" customFormat="1" ht="15.75" customHeight="1">
      <c r="A288" s="285"/>
      <c r="B288" s="182" t="s">
        <v>145</v>
      </c>
      <c r="C288" s="36" t="s">
        <v>101</v>
      </c>
      <c r="D288" s="37" t="s">
        <v>69</v>
      </c>
      <c r="E288" s="37" t="s">
        <v>72</v>
      </c>
      <c r="F288" s="37" t="s">
        <v>274</v>
      </c>
      <c r="G288" s="37" t="s">
        <v>153</v>
      </c>
      <c r="H288" s="183">
        <v>70</v>
      </c>
      <c r="I288" s="183">
        <v>70</v>
      </c>
      <c r="J288" s="183">
        <v>70</v>
      </c>
      <c r="K288" s="183">
        <v>70</v>
      </c>
      <c r="L288" s="183">
        <v>70</v>
      </c>
      <c r="M288" s="183">
        <v>70</v>
      </c>
      <c r="N288" s="183"/>
      <c r="O288" s="183">
        <v>70</v>
      </c>
      <c r="P288" s="183">
        <v>70</v>
      </c>
      <c r="Q288" s="183">
        <v>70</v>
      </c>
      <c r="R288" s="472">
        <f t="shared" si="115"/>
        <v>0</v>
      </c>
      <c r="S288" s="472">
        <f t="shared" si="116"/>
        <v>0</v>
      </c>
      <c r="T288" s="472">
        <f t="shared" si="117"/>
        <v>0</v>
      </c>
      <c r="U288" s="182" t="s">
        <v>145</v>
      </c>
      <c r="V288" s="36" t="s">
        <v>101</v>
      </c>
      <c r="W288" s="37" t="s">
        <v>69</v>
      </c>
      <c r="X288" s="37" t="s">
        <v>72</v>
      </c>
      <c r="Y288" s="37" t="s">
        <v>274</v>
      </c>
      <c r="Z288" s="37" t="s">
        <v>153</v>
      </c>
      <c r="AA288" s="12" t="b">
        <f t="shared" si="118"/>
        <v>1</v>
      </c>
      <c r="AB288" s="12" t="b">
        <f t="shared" si="119"/>
        <v>1</v>
      </c>
      <c r="AC288" s="12" t="b">
        <f t="shared" si="120"/>
        <v>1</v>
      </c>
      <c r="AD288" s="12" t="b">
        <f t="shared" si="121"/>
        <v>1</v>
      </c>
      <c r="AE288" s="12" t="b">
        <f t="shared" si="122"/>
        <v>1</v>
      </c>
      <c r="AF288" s="12" t="b">
        <f t="shared" si="123"/>
        <v>1</v>
      </c>
    </row>
    <row r="289" spans="1:32" s="12" customFormat="1" ht="15.75" customHeight="1">
      <c r="A289" s="285"/>
      <c r="B289" s="54" t="s">
        <v>983</v>
      </c>
      <c r="C289" s="56" t="s">
        <v>101</v>
      </c>
      <c r="D289" s="57" t="s">
        <v>69</v>
      </c>
      <c r="E289" s="57" t="s">
        <v>72</v>
      </c>
      <c r="F289" s="57" t="s">
        <v>274</v>
      </c>
      <c r="G289" s="57" t="s">
        <v>142</v>
      </c>
      <c r="H289" s="58">
        <v>1080</v>
      </c>
      <c r="I289" s="58">
        <v>1080</v>
      </c>
      <c r="J289" s="58">
        <v>1080</v>
      </c>
      <c r="K289" s="58">
        <v>1080</v>
      </c>
      <c r="L289" s="58">
        <v>1080</v>
      </c>
      <c r="M289" s="58">
        <v>1080</v>
      </c>
      <c r="N289" s="58"/>
      <c r="O289" s="58">
        <v>1080</v>
      </c>
      <c r="P289" s="58">
        <v>1080</v>
      </c>
      <c r="Q289" s="58">
        <v>1080</v>
      </c>
      <c r="R289" s="472">
        <f t="shared" si="115"/>
        <v>0</v>
      </c>
      <c r="S289" s="472">
        <f t="shared" si="116"/>
        <v>0</v>
      </c>
      <c r="T289" s="472">
        <f t="shared" si="117"/>
        <v>0</v>
      </c>
      <c r="U289" s="54" t="s">
        <v>983</v>
      </c>
      <c r="V289" s="56" t="s">
        <v>101</v>
      </c>
      <c r="W289" s="57" t="s">
        <v>69</v>
      </c>
      <c r="X289" s="57" t="s">
        <v>72</v>
      </c>
      <c r="Y289" s="57" t="s">
        <v>274</v>
      </c>
      <c r="Z289" s="57" t="s">
        <v>142</v>
      </c>
      <c r="AA289" s="12" t="b">
        <f t="shared" si="118"/>
        <v>1</v>
      </c>
      <c r="AB289" s="12" t="b">
        <f t="shared" si="119"/>
        <v>1</v>
      </c>
      <c r="AC289" s="12" t="b">
        <f t="shared" si="120"/>
        <v>1</v>
      </c>
      <c r="AD289" s="12" t="b">
        <f t="shared" si="121"/>
        <v>1</v>
      </c>
      <c r="AE289" s="12" t="b">
        <f t="shared" si="122"/>
        <v>1</v>
      </c>
      <c r="AF289" s="12" t="b">
        <f t="shared" si="123"/>
        <v>1</v>
      </c>
    </row>
    <row r="290" spans="1:32" s="12" customFormat="1" ht="15.75" customHeight="1">
      <c r="A290" s="285"/>
      <c r="B290" s="182" t="s">
        <v>525</v>
      </c>
      <c r="C290" s="36" t="s">
        <v>101</v>
      </c>
      <c r="D290" s="37" t="s">
        <v>69</v>
      </c>
      <c r="E290" s="37" t="s">
        <v>72</v>
      </c>
      <c r="F290" s="37" t="s">
        <v>275</v>
      </c>
      <c r="G290" s="37" t="s">
        <v>90</v>
      </c>
      <c r="H290" s="183">
        <f t="shared" ref="H290:J291" si="130">H291</f>
        <v>407</v>
      </c>
      <c r="I290" s="183">
        <f t="shared" si="130"/>
        <v>407</v>
      </c>
      <c r="J290" s="183">
        <f t="shared" si="130"/>
        <v>407</v>
      </c>
      <c r="K290" s="183">
        <v>407</v>
      </c>
      <c r="L290" s="183">
        <v>407</v>
      </c>
      <c r="M290" s="183">
        <v>407</v>
      </c>
      <c r="N290" s="183"/>
      <c r="O290" s="183">
        <v>407</v>
      </c>
      <c r="P290" s="183">
        <v>407</v>
      </c>
      <c r="Q290" s="183">
        <v>407</v>
      </c>
      <c r="R290" s="472">
        <f t="shared" si="115"/>
        <v>0</v>
      </c>
      <c r="S290" s="472">
        <f t="shared" si="116"/>
        <v>0</v>
      </c>
      <c r="T290" s="472">
        <f t="shared" si="117"/>
        <v>0</v>
      </c>
      <c r="U290" s="182" t="s">
        <v>525</v>
      </c>
      <c r="V290" s="36" t="s">
        <v>101</v>
      </c>
      <c r="W290" s="37" t="s">
        <v>69</v>
      </c>
      <c r="X290" s="37" t="s">
        <v>72</v>
      </c>
      <c r="Y290" s="37" t="s">
        <v>275</v>
      </c>
      <c r="Z290" s="37" t="s">
        <v>90</v>
      </c>
      <c r="AA290" s="12" t="b">
        <f t="shared" si="118"/>
        <v>1</v>
      </c>
      <c r="AB290" s="12" t="b">
        <f t="shared" si="119"/>
        <v>1</v>
      </c>
      <c r="AC290" s="12" t="b">
        <f t="shared" si="120"/>
        <v>1</v>
      </c>
      <c r="AD290" s="12" t="b">
        <f t="shared" si="121"/>
        <v>1</v>
      </c>
      <c r="AE290" s="12" t="b">
        <f t="shared" si="122"/>
        <v>1</v>
      </c>
      <c r="AF290" s="12" t="b">
        <f t="shared" si="123"/>
        <v>1</v>
      </c>
    </row>
    <row r="291" spans="1:32" s="12" customFormat="1" ht="15.75" customHeight="1">
      <c r="A291" s="285"/>
      <c r="B291" s="182" t="s">
        <v>746</v>
      </c>
      <c r="C291" s="36" t="s">
        <v>101</v>
      </c>
      <c r="D291" s="37" t="s">
        <v>69</v>
      </c>
      <c r="E291" s="37" t="s">
        <v>72</v>
      </c>
      <c r="F291" s="37" t="s">
        <v>276</v>
      </c>
      <c r="G291" s="37" t="s">
        <v>90</v>
      </c>
      <c r="H291" s="183">
        <f t="shared" si="130"/>
        <v>407</v>
      </c>
      <c r="I291" s="183">
        <f t="shared" si="130"/>
        <v>407</v>
      </c>
      <c r="J291" s="183">
        <f t="shared" si="130"/>
        <v>407</v>
      </c>
      <c r="K291" s="183">
        <v>407</v>
      </c>
      <c r="L291" s="183">
        <v>407</v>
      </c>
      <c r="M291" s="183">
        <v>407</v>
      </c>
      <c r="N291" s="183"/>
      <c r="O291" s="183">
        <v>407</v>
      </c>
      <c r="P291" s="183">
        <v>407</v>
      </c>
      <c r="Q291" s="183">
        <v>407</v>
      </c>
      <c r="R291" s="472">
        <f t="shared" si="115"/>
        <v>0</v>
      </c>
      <c r="S291" s="472">
        <f t="shared" si="116"/>
        <v>0</v>
      </c>
      <c r="T291" s="472">
        <f t="shared" si="117"/>
        <v>0</v>
      </c>
      <c r="U291" s="182" t="s">
        <v>746</v>
      </c>
      <c r="V291" s="36" t="s">
        <v>101</v>
      </c>
      <c r="W291" s="37" t="s">
        <v>69</v>
      </c>
      <c r="X291" s="37" t="s">
        <v>72</v>
      </c>
      <c r="Y291" s="37" t="s">
        <v>276</v>
      </c>
      <c r="Z291" s="37" t="s">
        <v>90</v>
      </c>
      <c r="AA291" s="12" t="b">
        <f t="shared" si="118"/>
        <v>1</v>
      </c>
      <c r="AB291" s="12" t="b">
        <f t="shared" si="119"/>
        <v>1</v>
      </c>
      <c r="AC291" s="12" t="b">
        <f t="shared" si="120"/>
        <v>1</v>
      </c>
      <c r="AD291" s="12" t="b">
        <f t="shared" si="121"/>
        <v>1</v>
      </c>
      <c r="AE291" s="12" t="b">
        <f t="shared" si="122"/>
        <v>1</v>
      </c>
      <c r="AF291" s="12" t="b">
        <f t="shared" si="123"/>
        <v>1</v>
      </c>
    </row>
    <row r="292" spans="1:32" s="12" customFormat="1" ht="15.75" customHeight="1">
      <c r="A292" s="285"/>
      <c r="B292" s="182" t="s">
        <v>145</v>
      </c>
      <c r="C292" s="36" t="s">
        <v>101</v>
      </c>
      <c r="D292" s="37" t="s">
        <v>69</v>
      </c>
      <c r="E292" s="37" t="s">
        <v>72</v>
      </c>
      <c r="F292" s="37" t="s">
        <v>276</v>
      </c>
      <c r="G292" s="37" t="s">
        <v>153</v>
      </c>
      <c r="H292" s="183">
        <v>407</v>
      </c>
      <c r="I292" s="183">
        <v>407</v>
      </c>
      <c r="J292" s="183">
        <v>407</v>
      </c>
      <c r="K292" s="183">
        <v>407</v>
      </c>
      <c r="L292" s="183">
        <v>407</v>
      </c>
      <c r="M292" s="183">
        <v>407</v>
      </c>
      <c r="N292" s="183"/>
      <c r="O292" s="183">
        <v>407</v>
      </c>
      <c r="P292" s="183">
        <v>407</v>
      </c>
      <c r="Q292" s="183">
        <v>407</v>
      </c>
      <c r="R292" s="472">
        <f t="shared" si="115"/>
        <v>0</v>
      </c>
      <c r="S292" s="472">
        <f t="shared" si="116"/>
        <v>0</v>
      </c>
      <c r="T292" s="472">
        <f t="shared" si="117"/>
        <v>0</v>
      </c>
      <c r="U292" s="182" t="s">
        <v>145</v>
      </c>
      <c r="V292" s="36" t="s">
        <v>101</v>
      </c>
      <c r="W292" s="37" t="s">
        <v>69</v>
      </c>
      <c r="X292" s="37" t="s">
        <v>72</v>
      </c>
      <c r="Y292" s="37" t="s">
        <v>276</v>
      </c>
      <c r="Z292" s="37" t="s">
        <v>153</v>
      </c>
      <c r="AA292" s="12" t="b">
        <f t="shared" si="118"/>
        <v>1</v>
      </c>
      <c r="AB292" s="12" t="b">
        <f t="shared" si="119"/>
        <v>1</v>
      </c>
      <c r="AC292" s="12" t="b">
        <f t="shared" si="120"/>
        <v>1</v>
      </c>
      <c r="AD292" s="12" t="b">
        <f t="shared" si="121"/>
        <v>1</v>
      </c>
      <c r="AE292" s="12" t="b">
        <f t="shared" si="122"/>
        <v>1</v>
      </c>
      <c r="AF292" s="12" t="b">
        <f t="shared" si="123"/>
        <v>1</v>
      </c>
    </row>
    <row r="293" spans="1:32" s="12" customFormat="1" ht="15.75" customHeight="1">
      <c r="A293" s="285"/>
      <c r="B293" s="182" t="s">
        <v>675</v>
      </c>
      <c r="C293" s="36" t="s">
        <v>101</v>
      </c>
      <c r="D293" s="37" t="s">
        <v>69</v>
      </c>
      <c r="E293" s="37" t="s">
        <v>72</v>
      </c>
      <c r="F293" s="37" t="s">
        <v>242</v>
      </c>
      <c r="G293" s="37" t="s">
        <v>90</v>
      </c>
      <c r="H293" s="183">
        <f>H297+H294+H300</f>
        <v>580.5</v>
      </c>
      <c r="I293" s="183">
        <f>I297+I294+I300</f>
        <v>580.5</v>
      </c>
      <c r="J293" s="183">
        <f>J297+J294+J300</f>
        <v>580.5</v>
      </c>
      <c r="K293" s="183">
        <v>580.5</v>
      </c>
      <c r="L293" s="183">
        <v>580.5</v>
      </c>
      <c r="M293" s="183">
        <v>580.5</v>
      </c>
      <c r="N293" s="183"/>
      <c r="O293" s="183">
        <v>580.5</v>
      </c>
      <c r="P293" s="183">
        <v>580.5</v>
      </c>
      <c r="Q293" s="183">
        <v>580.5</v>
      </c>
      <c r="R293" s="472">
        <f t="shared" si="115"/>
        <v>0</v>
      </c>
      <c r="S293" s="472">
        <f t="shared" si="116"/>
        <v>0</v>
      </c>
      <c r="T293" s="472">
        <f t="shared" si="117"/>
        <v>0</v>
      </c>
      <c r="U293" s="182" t="s">
        <v>675</v>
      </c>
      <c r="V293" s="36" t="s">
        <v>101</v>
      </c>
      <c r="W293" s="37" t="s">
        <v>69</v>
      </c>
      <c r="X293" s="37" t="s">
        <v>72</v>
      </c>
      <c r="Y293" s="37" t="s">
        <v>242</v>
      </c>
      <c r="Z293" s="37" t="s">
        <v>90</v>
      </c>
      <c r="AA293" s="12" t="b">
        <f t="shared" si="118"/>
        <v>1</v>
      </c>
      <c r="AB293" s="12" t="b">
        <f t="shared" si="119"/>
        <v>1</v>
      </c>
      <c r="AC293" s="12" t="b">
        <f t="shared" si="120"/>
        <v>1</v>
      </c>
      <c r="AD293" s="12" t="b">
        <f t="shared" si="121"/>
        <v>1</v>
      </c>
      <c r="AE293" s="12" t="b">
        <f t="shared" si="122"/>
        <v>1</v>
      </c>
      <c r="AF293" s="12" t="b">
        <f t="shared" si="123"/>
        <v>1</v>
      </c>
    </row>
    <row r="294" spans="1:32" s="12" customFormat="1" ht="15.75" customHeight="1">
      <c r="A294" s="285"/>
      <c r="B294" s="182" t="s">
        <v>734</v>
      </c>
      <c r="C294" s="36" t="s">
        <v>101</v>
      </c>
      <c r="D294" s="37" t="s">
        <v>69</v>
      </c>
      <c r="E294" s="37" t="s">
        <v>72</v>
      </c>
      <c r="F294" s="37" t="s">
        <v>681</v>
      </c>
      <c r="G294" s="37" t="s">
        <v>90</v>
      </c>
      <c r="H294" s="183">
        <f t="shared" ref="H294:J295" si="131">H295</f>
        <v>72</v>
      </c>
      <c r="I294" s="183">
        <f t="shared" si="131"/>
        <v>72</v>
      </c>
      <c r="J294" s="183">
        <f t="shared" si="131"/>
        <v>72</v>
      </c>
      <c r="K294" s="183">
        <v>72</v>
      </c>
      <c r="L294" s="183">
        <v>72</v>
      </c>
      <c r="M294" s="183">
        <v>72</v>
      </c>
      <c r="N294" s="183"/>
      <c r="O294" s="183">
        <v>72</v>
      </c>
      <c r="P294" s="183">
        <v>72</v>
      </c>
      <c r="Q294" s="183">
        <v>72</v>
      </c>
      <c r="R294" s="472">
        <f t="shared" si="115"/>
        <v>0</v>
      </c>
      <c r="S294" s="472">
        <f t="shared" si="116"/>
        <v>0</v>
      </c>
      <c r="T294" s="472">
        <f t="shared" si="117"/>
        <v>0</v>
      </c>
      <c r="U294" s="182" t="s">
        <v>734</v>
      </c>
      <c r="V294" s="36" t="s">
        <v>101</v>
      </c>
      <c r="W294" s="37" t="s">
        <v>69</v>
      </c>
      <c r="X294" s="37" t="s">
        <v>72</v>
      </c>
      <c r="Y294" s="37" t="s">
        <v>681</v>
      </c>
      <c r="Z294" s="37" t="s">
        <v>90</v>
      </c>
      <c r="AA294" s="12" t="b">
        <f t="shared" si="118"/>
        <v>1</v>
      </c>
      <c r="AB294" s="12" t="b">
        <f t="shared" si="119"/>
        <v>1</v>
      </c>
      <c r="AC294" s="12" t="b">
        <f t="shared" si="120"/>
        <v>1</v>
      </c>
      <c r="AD294" s="12" t="b">
        <f t="shared" si="121"/>
        <v>1</v>
      </c>
      <c r="AE294" s="12" t="b">
        <f t="shared" si="122"/>
        <v>1</v>
      </c>
      <c r="AF294" s="12" t="b">
        <f t="shared" si="123"/>
        <v>1</v>
      </c>
    </row>
    <row r="295" spans="1:32" s="12" customFormat="1" ht="15.75" customHeight="1">
      <c r="A295" s="285"/>
      <c r="B295" s="182" t="s">
        <v>747</v>
      </c>
      <c r="C295" s="36" t="s">
        <v>101</v>
      </c>
      <c r="D295" s="37" t="s">
        <v>69</v>
      </c>
      <c r="E295" s="37" t="s">
        <v>72</v>
      </c>
      <c r="F295" s="37" t="s">
        <v>682</v>
      </c>
      <c r="G295" s="37" t="s">
        <v>90</v>
      </c>
      <c r="H295" s="183">
        <f t="shared" si="131"/>
        <v>72</v>
      </c>
      <c r="I295" s="183">
        <f t="shared" si="131"/>
        <v>72</v>
      </c>
      <c r="J295" s="183">
        <f t="shared" si="131"/>
        <v>72</v>
      </c>
      <c r="K295" s="183">
        <v>72</v>
      </c>
      <c r="L295" s="183">
        <v>72</v>
      </c>
      <c r="M295" s="183">
        <v>72</v>
      </c>
      <c r="N295" s="183"/>
      <c r="O295" s="183">
        <v>72</v>
      </c>
      <c r="P295" s="183">
        <v>72</v>
      </c>
      <c r="Q295" s="183">
        <v>72</v>
      </c>
      <c r="R295" s="472">
        <f t="shared" si="115"/>
        <v>0</v>
      </c>
      <c r="S295" s="472">
        <f t="shared" si="116"/>
        <v>0</v>
      </c>
      <c r="T295" s="472">
        <f t="shared" si="117"/>
        <v>0</v>
      </c>
      <c r="U295" s="182" t="s">
        <v>747</v>
      </c>
      <c r="V295" s="36" t="s">
        <v>101</v>
      </c>
      <c r="W295" s="37" t="s">
        <v>69</v>
      </c>
      <c r="X295" s="37" t="s">
        <v>72</v>
      </c>
      <c r="Y295" s="37" t="s">
        <v>682</v>
      </c>
      <c r="Z295" s="37" t="s">
        <v>90</v>
      </c>
      <c r="AA295" s="12" t="b">
        <f t="shared" si="118"/>
        <v>1</v>
      </c>
      <c r="AB295" s="12" t="b">
        <f t="shared" si="119"/>
        <v>1</v>
      </c>
      <c r="AC295" s="12" t="b">
        <f t="shared" si="120"/>
        <v>1</v>
      </c>
      <c r="AD295" s="12" t="b">
        <f t="shared" si="121"/>
        <v>1</v>
      </c>
      <c r="AE295" s="12" t="b">
        <f t="shared" si="122"/>
        <v>1</v>
      </c>
      <c r="AF295" s="12" t="b">
        <f t="shared" si="123"/>
        <v>1</v>
      </c>
    </row>
    <row r="296" spans="1:32" s="12" customFormat="1" ht="15.75" customHeight="1">
      <c r="A296" s="285"/>
      <c r="B296" s="54" t="s">
        <v>145</v>
      </c>
      <c r="C296" s="56" t="s">
        <v>101</v>
      </c>
      <c r="D296" s="57" t="s">
        <v>69</v>
      </c>
      <c r="E296" s="57" t="s">
        <v>72</v>
      </c>
      <c r="F296" s="57" t="s">
        <v>682</v>
      </c>
      <c r="G296" s="57" t="s">
        <v>153</v>
      </c>
      <c r="H296" s="58">
        <v>72</v>
      </c>
      <c r="I296" s="58">
        <v>72</v>
      </c>
      <c r="J296" s="58">
        <v>72</v>
      </c>
      <c r="K296" s="58">
        <v>72</v>
      </c>
      <c r="L296" s="58">
        <v>72</v>
      </c>
      <c r="M296" s="58">
        <v>72</v>
      </c>
      <c r="N296" s="58"/>
      <c r="O296" s="58">
        <v>72</v>
      </c>
      <c r="P296" s="58">
        <v>72</v>
      </c>
      <c r="Q296" s="58">
        <v>72</v>
      </c>
      <c r="R296" s="472">
        <f t="shared" si="115"/>
        <v>0</v>
      </c>
      <c r="S296" s="472">
        <f t="shared" si="116"/>
        <v>0</v>
      </c>
      <c r="T296" s="472">
        <f t="shared" si="117"/>
        <v>0</v>
      </c>
      <c r="U296" s="54" t="s">
        <v>145</v>
      </c>
      <c r="V296" s="56" t="s">
        <v>101</v>
      </c>
      <c r="W296" s="57" t="s">
        <v>69</v>
      </c>
      <c r="X296" s="57" t="s">
        <v>72</v>
      </c>
      <c r="Y296" s="57" t="s">
        <v>682</v>
      </c>
      <c r="Z296" s="57" t="s">
        <v>153</v>
      </c>
      <c r="AA296" s="12" t="b">
        <f t="shared" si="118"/>
        <v>1</v>
      </c>
      <c r="AB296" s="12" t="b">
        <f t="shared" si="119"/>
        <v>1</v>
      </c>
      <c r="AC296" s="12" t="b">
        <f t="shared" si="120"/>
        <v>1</v>
      </c>
      <c r="AD296" s="12" t="b">
        <f t="shared" si="121"/>
        <v>1</v>
      </c>
      <c r="AE296" s="12" t="b">
        <f t="shared" si="122"/>
        <v>1</v>
      </c>
      <c r="AF296" s="12" t="b">
        <f t="shared" si="123"/>
        <v>1</v>
      </c>
    </row>
    <row r="297" spans="1:32" s="12" customFormat="1" ht="15.75" customHeight="1">
      <c r="A297" s="285"/>
      <c r="B297" s="182" t="s">
        <v>735</v>
      </c>
      <c r="C297" s="36" t="s">
        <v>101</v>
      </c>
      <c r="D297" s="37" t="s">
        <v>69</v>
      </c>
      <c r="E297" s="37" t="s">
        <v>72</v>
      </c>
      <c r="F297" s="37" t="s">
        <v>277</v>
      </c>
      <c r="G297" s="37" t="s">
        <v>90</v>
      </c>
      <c r="H297" s="183">
        <f t="shared" ref="H297:J298" si="132">H298</f>
        <v>328.5</v>
      </c>
      <c r="I297" s="183">
        <f t="shared" si="132"/>
        <v>328.5</v>
      </c>
      <c r="J297" s="183">
        <f t="shared" si="132"/>
        <v>328.5</v>
      </c>
      <c r="K297" s="183">
        <v>328.5</v>
      </c>
      <c r="L297" s="183">
        <v>328.5</v>
      </c>
      <c r="M297" s="183">
        <v>328.5</v>
      </c>
      <c r="N297" s="183"/>
      <c r="O297" s="183">
        <v>328.5</v>
      </c>
      <c r="P297" s="183">
        <v>328.5</v>
      </c>
      <c r="Q297" s="183">
        <v>328.5</v>
      </c>
      <c r="R297" s="472">
        <f t="shared" si="115"/>
        <v>0</v>
      </c>
      <c r="S297" s="472">
        <f t="shared" si="116"/>
        <v>0</v>
      </c>
      <c r="T297" s="472">
        <f t="shared" si="117"/>
        <v>0</v>
      </c>
      <c r="U297" s="182" t="s">
        <v>735</v>
      </c>
      <c r="V297" s="36" t="s">
        <v>101</v>
      </c>
      <c r="W297" s="37" t="s">
        <v>69</v>
      </c>
      <c r="X297" s="37" t="s">
        <v>72</v>
      </c>
      <c r="Y297" s="37" t="s">
        <v>277</v>
      </c>
      <c r="Z297" s="37" t="s">
        <v>90</v>
      </c>
      <c r="AA297" s="12" t="b">
        <f t="shared" si="118"/>
        <v>1</v>
      </c>
      <c r="AB297" s="12" t="b">
        <f t="shared" si="119"/>
        <v>1</v>
      </c>
      <c r="AC297" s="12" t="b">
        <f t="shared" si="120"/>
        <v>1</v>
      </c>
      <c r="AD297" s="12" t="b">
        <f t="shared" si="121"/>
        <v>1</v>
      </c>
      <c r="AE297" s="12" t="b">
        <f t="shared" si="122"/>
        <v>1</v>
      </c>
      <c r="AF297" s="12" t="b">
        <f t="shared" si="123"/>
        <v>1</v>
      </c>
    </row>
    <row r="298" spans="1:32" s="12" customFormat="1" ht="15.75" customHeight="1">
      <c r="A298" s="285"/>
      <c r="B298" s="182" t="s">
        <v>748</v>
      </c>
      <c r="C298" s="36" t="s">
        <v>101</v>
      </c>
      <c r="D298" s="37" t="s">
        <v>69</v>
      </c>
      <c r="E298" s="37" t="s">
        <v>72</v>
      </c>
      <c r="F298" s="37" t="s">
        <v>278</v>
      </c>
      <c r="G298" s="37" t="s">
        <v>90</v>
      </c>
      <c r="H298" s="183">
        <f t="shared" si="132"/>
        <v>328.5</v>
      </c>
      <c r="I298" s="183">
        <f t="shared" si="132"/>
        <v>328.5</v>
      </c>
      <c r="J298" s="183">
        <f t="shared" si="132"/>
        <v>328.5</v>
      </c>
      <c r="K298" s="183">
        <v>328.5</v>
      </c>
      <c r="L298" s="183">
        <v>328.5</v>
      </c>
      <c r="M298" s="183">
        <v>328.5</v>
      </c>
      <c r="N298" s="183"/>
      <c r="O298" s="183">
        <v>328.5</v>
      </c>
      <c r="P298" s="183">
        <v>328.5</v>
      </c>
      <c r="Q298" s="183">
        <v>328.5</v>
      </c>
      <c r="R298" s="472">
        <f t="shared" si="115"/>
        <v>0</v>
      </c>
      <c r="S298" s="472">
        <f t="shared" si="116"/>
        <v>0</v>
      </c>
      <c r="T298" s="472">
        <f t="shared" si="117"/>
        <v>0</v>
      </c>
      <c r="U298" s="182" t="s">
        <v>748</v>
      </c>
      <c r="V298" s="36" t="s">
        <v>101</v>
      </c>
      <c r="W298" s="37" t="s">
        <v>69</v>
      </c>
      <c r="X298" s="37" t="s">
        <v>72</v>
      </c>
      <c r="Y298" s="37" t="s">
        <v>278</v>
      </c>
      <c r="Z298" s="37" t="s">
        <v>90</v>
      </c>
      <c r="AA298" s="12" t="b">
        <f t="shared" si="118"/>
        <v>1</v>
      </c>
      <c r="AB298" s="12" t="b">
        <f t="shared" si="119"/>
        <v>1</v>
      </c>
      <c r="AC298" s="12" t="b">
        <f t="shared" si="120"/>
        <v>1</v>
      </c>
      <c r="AD298" s="12" t="b">
        <f t="shared" si="121"/>
        <v>1</v>
      </c>
      <c r="AE298" s="12" t="b">
        <f t="shared" si="122"/>
        <v>1</v>
      </c>
      <c r="AF298" s="12" t="b">
        <f t="shared" si="123"/>
        <v>1</v>
      </c>
    </row>
    <row r="299" spans="1:32" s="12" customFormat="1" ht="15.75" customHeight="1">
      <c r="A299" s="285"/>
      <c r="B299" s="182" t="s">
        <v>145</v>
      </c>
      <c r="C299" s="36" t="s">
        <v>101</v>
      </c>
      <c r="D299" s="37" t="s">
        <v>69</v>
      </c>
      <c r="E299" s="37" t="s">
        <v>72</v>
      </c>
      <c r="F299" s="37" t="s">
        <v>278</v>
      </c>
      <c r="G299" s="37" t="s">
        <v>153</v>
      </c>
      <c r="H299" s="183">
        <v>328.5</v>
      </c>
      <c r="I299" s="183">
        <v>328.5</v>
      </c>
      <c r="J299" s="183">
        <v>328.5</v>
      </c>
      <c r="K299" s="183">
        <v>328.5</v>
      </c>
      <c r="L299" s="183">
        <v>328.5</v>
      </c>
      <c r="M299" s="183">
        <v>328.5</v>
      </c>
      <c r="N299" s="183"/>
      <c r="O299" s="183">
        <v>328.5</v>
      </c>
      <c r="P299" s="183">
        <v>328.5</v>
      </c>
      <c r="Q299" s="183">
        <v>328.5</v>
      </c>
      <c r="R299" s="472">
        <f t="shared" si="115"/>
        <v>0</v>
      </c>
      <c r="S299" s="472">
        <f t="shared" si="116"/>
        <v>0</v>
      </c>
      <c r="T299" s="472">
        <f t="shared" si="117"/>
        <v>0</v>
      </c>
      <c r="U299" s="182" t="s">
        <v>145</v>
      </c>
      <c r="V299" s="36" t="s">
        <v>101</v>
      </c>
      <c r="W299" s="37" t="s">
        <v>69</v>
      </c>
      <c r="X299" s="37" t="s">
        <v>72</v>
      </c>
      <c r="Y299" s="37" t="s">
        <v>278</v>
      </c>
      <c r="Z299" s="37" t="s">
        <v>153</v>
      </c>
      <c r="AA299" s="12" t="b">
        <f t="shared" si="118"/>
        <v>1</v>
      </c>
      <c r="AB299" s="12" t="b">
        <f t="shared" si="119"/>
        <v>1</v>
      </c>
      <c r="AC299" s="12" t="b">
        <f t="shared" si="120"/>
        <v>1</v>
      </c>
      <c r="AD299" s="12" t="b">
        <f t="shared" si="121"/>
        <v>1</v>
      </c>
      <c r="AE299" s="12" t="b">
        <f t="shared" si="122"/>
        <v>1</v>
      </c>
      <c r="AF299" s="12" t="b">
        <f t="shared" si="123"/>
        <v>1</v>
      </c>
    </row>
    <row r="300" spans="1:32" s="12" customFormat="1" ht="15.75" customHeight="1">
      <c r="A300" s="285"/>
      <c r="B300" s="182" t="s">
        <v>915</v>
      </c>
      <c r="C300" s="36" t="s">
        <v>101</v>
      </c>
      <c r="D300" s="37" t="s">
        <v>69</v>
      </c>
      <c r="E300" s="37" t="s">
        <v>72</v>
      </c>
      <c r="F300" s="37" t="s">
        <v>897</v>
      </c>
      <c r="G300" s="37" t="s">
        <v>90</v>
      </c>
      <c r="H300" s="183">
        <f t="shared" ref="H300:J301" si="133">H301</f>
        <v>180</v>
      </c>
      <c r="I300" s="183">
        <f t="shared" si="133"/>
        <v>180</v>
      </c>
      <c r="J300" s="183">
        <f t="shared" si="133"/>
        <v>180</v>
      </c>
      <c r="K300" s="183">
        <v>180</v>
      </c>
      <c r="L300" s="183">
        <v>180</v>
      </c>
      <c r="M300" s="183">
        <v>180</v>
      </c>
      <c r="N300" s="183"/>
      <c r="O300" s="183">
        <v>180</v>
      </c>
      <c r="P300" s="183">
        <v>180</v>
      </c>
      <c r="Q300" s="183">
        <v>180</v>
      </c>
      <c r="R300" s="472">
        <f t="shared" si="115"/>
        <v>0</v>
      </c>
      <c r="S300" s="472">
        <f t="shared" si="116"/>
        <v>0</v>
      </c>
      <c r="T300" s="472">
        <f t="shared" si="117"/>
        <v>0</v>
      </c>
      <c r="U300" s="182" t="s">
        <v>915</v>
      </c>
      <c r="V300" s="36" t="s">
        <v>101</v>
      </c>
      <c r="W300" s="37" t="s">
        <v>69</v>
      </c>
      <c r="X300" s="37" t="s">
        <v>72</v>
      </c>
      <c r="Y300" s="37" t="s">
        <v>897</v>
      </c>
      <c r="Z300" s="37" t="s">
        <v>90</v>
      </c>
      <c r="AA300" s="12" t="b">
        <f t="shared" si="118"/>
        <v>1</v>
      </c>
      <c r="AB300" s="12" t="b">
        <f t="shared" si="119"/>
        <v>1</v>
      </c>
      <c r="AC300" s="12" t="b">
        <f t="shared" si="120"/>
        <v>1</v>
      </c>
      <c r="AD300" s="12" t="b">
        <f t="shared" si="121"/>
        <v>1</v>
      </c>
      <c r="AE300" s="12" t="b">
        <f t="shared" si="122"/>
        <v>1</v>
      </c>
      <c r="AF300" s="12" t="b">
        <f t="shared" si="123"/>
        <v>1</v>
      </c>
    </row>
    <row r="301" spans="1:32" s="12" customFormat="1" ht="15.75" customHeight="1">
      <c r="A301" s="285"/>
      <c r="B301" s="182" t="s">
        <v>931</v>
      </c>
      <c r="C301" s="36" t="s">
        <v>101</v>
      </c>
      <c r="D301" s="37" t="s">
        <v>69</v>
      </c>
      <c r="E301" s="37" t="s">
        <v>72</v>
      </c>
      <c r="F301" s="37" t="s">
        <v>898</v>
      </c>
      <c r="G301" s="37" t="s">
        <v>90</v>
      </c>
      <c r="H301" s="183">
        <f t="shared" si="133"/>
        <v>180</v>
      </c>
      <c r="I301" s="183">
        <f t="shared" si="133"/>
        <v>180</v>
      </c>
      <c r="J301" s="183">
        <f t="shared" si="133"/>
        <v>180</v>
      </c>
      <c r="K301" s="183">
        <v>180</v>
      </c>
      <c r="L301" s="183">
        <v>180</v>
      </c>
      <c r="M301" s="183">
        <v>180</v>
      </c>
      <c r="N301" s="183"/>
      <c r="O301" s="183">
        <v>180</v>
      </c>
      <c r="P301" s="183">
        <v>180</v>
      </c>
      <c r="Q301" s="183">
        <v>180</v>
      </c>
      <c r="R301" s="472">
        <f t="shared" si="115"/>
        <v>0</v>
      </c>
      <c r="S301" s="472">
        <f t="shared" si="116"/>
        <v>0</v>
      </c>
      <c r="T301" s="472">
        <f t="shared" si="117"/>
        <v>0</v>
      </c>
      <c r="U301" s="182" t="s">
        <v>931</v>
      </c>
      <c r="V301" s="36" t="s">
        <v>101</v>
      </c>
      <c r="W301" s="37" t="s">
        <v>69</v>
      </c>
      <c r="X301" s="37" t="s">
        <v>72</v>
      </c>
      <c r="Y301" s="37" t="s">
        <v>898</v>
      </c>
      <c r="Z301" s="37" t="s">
        <v>90</v>
      </c>
      <c r="AA301" s="12" t="b">
        <f t="shared" si="118"/>
        <v>1</v>
      </c>
      <c r="AB301" s="12" t="b">
        <f t="shared" si="119"/>
        <v>1</v>
      </c>
      <c r="AC301" s="12" t="b">
        <f t="shared" si="120"/>
        <v>1</v>
      </c>
      <c r="AD301" s="12" t="b">
        <f t="shared" si="121"/>
        <v>1</v>
      </c>
      <c r="AE301" s="12" t="b">
        <f t="shared" si="122"/>
        <v>1</v>
      </c>
      <c r="AF301" s="12" t="b">
        <f t="shared" si="123"/>
        <v>1</v>
      </c>
    </row>
    <row r="302" spans="1:32" s="12" customFormat="1" ht="15.75" customHeight="1">
      <c r="A302" s="285"/>
      <c r="B302" s="182" t="s">
        <v>145</v>
      </c>
      <c r="C302" s="36" t="s">
        <v>101</v>
      </c>
      <c r="D302" s="37" t="s">
        <v>69</v>
      </c>
      <c r="E302" s="37" t="s">
        <v>72</v>
      </c>
      <c r="F302" s="37" t="s">
        <v>898</v>
      </c>
      <c r="G302" s="37" t="s">
        <v>153</v>
      </c>
      <c r="H302" s="183">
        <v>180</v>
      </c>
      <c r="I302" s="183">
        <v>180</v>
      </c>
      <c r="J302" s="183">
        <v>180</v>
      </c>
      <c r="K302" s="183">
        <v>180</v>
      </c>
      <c r="L302" s="183">
        <v>180</v>
      </c>
      <c r="M302" s="183">
        <v>180</v>
      </c>
      <c r="N302" s="183"/>
      <c r="O302" s="183">
        <v>180</v>
      </c>
      <c r="P302" s="183">
        <v>180</v>
      </c>
      <c r="Q302" s="183">
        <v>180</v>
      </c>
      <c r="R302" s="472">
        <f t="shared" si="115"/>
        <v>0</v>
      </c>
      <c r="S302" s="472">
        <f t="shared" si="116"/>
        <v>0</v>
      </c>
      <c r="T302" s="472">
        <f t="shared" si="117"/>
        <v>0</v>
      </c>
      <c r="U302" s="182" t="s">
        <v>145</v>
      </c>
      <c r="V302" s="36" t="s">
        <v>101</v>
      </c>
      <c r="W302" s="37" t="s">
        <v>69</v>
      </c>
      <c r="X302" s="37" t="s">
        <v>72</v>
      </c>
      <c r="Y302" s="37" t="s">
        <v>898</v>
      </c>
      <c r="Z302" s="37" t="s">
        <v>153</v>
      </c>
      <c r="AA302" s="12" t="b">
        <f t="shared" si="118"/>
        <v>1</v>
      </c>
      <c r="AB302" s="12" t="b">
        <f t="shared" si="119"/>
        <v>1</v>
      </c>
      <c r="AC302" s="12" t="b">
        <f t="shared" si="120"/>
        <v>1</v>
      </c>
      <c r="AD302" s="12" t="b">
        <f t="shared" si="121"/>
        <v>1</v>
      </c>
      <c r="AE302" s="12" t="b">
        <f t="shared" si="122"/>
        <v>1</v>
      </c>
      <c r="AF302" s="12" t="b">
        <f t="shared" si="123"/>
        <v>1</v>
      </c>
    </row>
    <row r="303" spans="1:32" s="12" customFormat="1" ht="15.75" customHeight="1">
      <c r="A303" s="285"/>
      <c r="B303" s="28" t="s">
        <v>438</v>
      </c>
      <c r="C303" s="29" t="s">
        <v>101</v>
      </c>
      <c r="D303" s="30" t="s">
        <v>82</v>
      </c>
      <c r="E303" s="30" t="s">
        <v>83</v>
      </c>
      <c r="F303" s="30" t="s">
        <v>223</v>
      </c>
      <c r="G303" s="30" t="s">
        <v>90</v>
      </c>
      <c r="H303" s="31">
        <f t="shared" ref="H303:J308" si="134">H304</f>
        <v>1096.2</v>
      </c>
      <c r="I303" s="31">
        <f t="shared" si="134"/>
        <v>1096.2</v>
      </c>
      <c r="J303" s="31">
        <f t="shared" si="134"/>
        <v>1096.2</v>
      </c>
      <c r="K303" s="31">
        <v>1096.2</v>
      </c>
      <c r="L303" s="31">
        <v>1096.2</v>
      </c>
      <c r="M303" s="31">
        <v>1096.2</v>
      </c>
      <c r="N303" s="31"/>
      <c r="O303" s="31">
        <v>1096.2</v>
      </c>
      <c r="P303" s="31">
        <v>1096.2</v>
      </c>
      <c r="Q303" s="31">
        <v>1096.2</v>
      </c>
      <c r="R303" s="472">
        <f t="shared" si="115"/>
        <v>0</v>
      </c>
      <c r="S303" s="472">
        <f t="shared" si="116"/>
        <v>0</v>
      </c>
      <c r="T303" s="472">
        <f t="shared" si="117"/>
        <v>0</v>
      </c>
      <c r="U303" s="28" t="s">
        <v>438</v>
      </c>
      <c r="V303" s="29" t="s">
        <v>101</v>
      </c>
      <c r="W303" s="30" t="s">
        <v>82</v>
      </c>
      <c r="X303" s="30" t="s">
        <v>83</v>
      </c>
      <c r="Y303" s="30" t="s">
        <v>223</v>
      </c>
      <c r="Z303" s="30" t="s">
        <v>90</v>
      </c>
      <c r="AA303" s="12" t="b">
        <f t="shared" si="118"/>
        <v>1</v>
      </c>
      <c r="AB303" s="12" t="b">
        <f t="shared" si="119"/>
        <v>1</v>
      </c>
      <c r="AC303" s="12" t="b">
        <f t="shared" si="120"/>
        <v>1</v>
      </c>
      <c r="AD303" s="12" t="b">
        <f t="shared" si="121"/>
        <v>1</v>
      </c>
      <c r="AE303" s="12" t="b">
        <f t="shared" si="122"/>
        <v>1</v>
      </c>
      <c r="AF303" s="12" t="b">
        <f t="shared" si="123"/>
        <v>1</v>
      </c>
    </row>
    <row r="304" spans="1:32" s="12" customFormat="1" ht="15.75" customHeight="1">
      <c r="A304" s="285"/>
      <c r="B304" s="32" t="s">
        <v>35</v>
      </c>
      <c r="C304" s="33" t="s">
        <v>101</v>
      </c>
      <c r="D304" s="34" t="s">
        <v>82</v>
      </c>
      <c r="E304" s="34" t="s">
        <v>98</v>
      </c>
      <c r="F304" s="34" t="s">
        <v>223</v>
      </c>
      <c r="G304" s="34" t="s">
        <v>90</v>
      </c>
      <c r="H304" s="35">
        <f t="shared" si="134"/>
        <v>1096.2</v>
      </c>
      <c r="I304" s="35">
        <f t="shared" si="134"/>
        <v>1096.2</v>
      </c>
      <c r="J304" s="35">
        <f t="shared" si="134"/>
        <v>1096.2</v>
      </c>
      <c r="K304" s="35">
        <v>1096.2</v>
      </c>
      <c r="L304" s="35">
        <v>1096.2</v>
      </c>
      <c r="M304" s="35">
        <v>1096.2</v>
      </c>
      <c r="N304" s="35"/>
      <c r="O304" s="35">
        <v>1096.2</v>
      </c>
      <c r="P304" s="35">
        <v>1096.2</v>
      </c>
      <c r="Q304" s="35">
        <v>1096.2</v>
      </c>
      <c r="R304" s="472">
        <f t="shared" si="115"/>
        <v>0</v>
      </c>
      <c r="S304" s="472">
        <f t="shared" si="116"/>
        <v>0</v>
      </c>
      <c r="T304" s="472">
        <f t="shared" si="117"/>
        <v>0</v>
      </c>
      <c r="U304" s="32" t="s">
        <v>35</v>
      </c>
      <c r="V304" s="33" t="s">
        <v>101</v>
      </c>
      <c r="W304" s="34" t="s">
        <v>82</v>
      </c>
      <c r="X304" s="34" t="s">
        <v>98</v>
      </c>
      <c r="Y304" s="34" t="s">
        <v>223</v>
      </c>
      <c r="Z304" s="34" t="s">
        <v>90</v>
      </c>
      <c r="AA304" s="12" t="b">
        <f t="shared" si="118"/>
        <v>1</v>
      </c>
      <c r="AB304" s="12" t="b">
        <f t="shared" si="119"/>
        <v>1</v>
      </c>
      <c r="AC304" s="12" t="b">
        <f t="shared" si="120"/>
        <v>1</v>
      </c>
      <c r="AD304" s="12" t="b">
        <f t="shared" si="121"/>
        <v>1</v>
      </c>
      <c r="AE304" s="12" t="b">
        <f t="shared" si="122"/>
        <v>1</v>
      </c>
      <c r="AF304" s="12" t="b">
        <f t="shared" si="123"/>
        <v>1</v>
      </c>
    </row>
    <row r="305" spans="1:32" s="12" customFormat="1" ht="15.75" customHeight="1">
      <c r="A305" s="285"/>
      <c r="B305" s="182" t="s">
        <v>664</v>
      </c>
      <c r="C305" s="36" t="s">
        <v>101</v>
      </c>
      <c r="D305" s="37" t="s">
        <v>82</v>
      </c>
      <c r="E305" s="37" t="s">
        <v>98</v>
      </c>
      <c r="F305" s="37" t="s">
        <v>241</v>
      </c>
      <c r="G305" s="37" t="s">
        <v>90</v>
      </c>
      <c r="H305" s="183">
        <f t="shared" si="134"/>
        <v>1096.2</v>
      </c>
      <c r="I305" s="183">
        <f t="shared" si="134"/>
        <v>1096.2</v>
      </c>
      <c r="J305" s="183">
        <f t="shared" si="134"/>
        <v>1096.2</v>
      </c>
      <c r="K305" s="183">
        <v>1096.2</v>
      </c>
      <c r="L305" s="183">
        <v>1096.2</v>
      </c>
      <c r="M305" s="183">
        <v>1096.2</v>
      </c>
      <c r="N305" s="183"/>
      <c r="O305" s="183">
        <v>1096.2</v>
      </c>
      <c r="P305" s="183">
        <v>1096.2</v>
      </c>
      <c r="Q305" s="183">
        <v>1096.2</v>
      </c>
      <c r="R305" s="472">
        <f t="shared" si="115"/>
        <v>0</v>
      </c>
      <c r="S305" s="472">
        <f t="shared" si="116"/>
        <v>0</v>
      </c>
      <c r="T305" s="472">
        <f t="shared" si="117"/>
        <v>0</v>
      </c>
      <c r="U305" s="182" t="s">
        <v>664</v>
      </c>
      <c r="V305" s="36" t="s">
        <v>101</v>
      </c>
      <c r="W305" s="37" t="s">
        <v>82</v>
      </c>
      <c r="X305" s="37" t="s">
        <v>98</v>
      </c>
      <c r="Y305" s="37" t="s">
        <v>241</v>
      </c>
      <c r="Z305" s="37" t="s">
        <v>90</v>
      </c>
      <c r="AA305" s="12" t="b">
        <f t="shared" si="118"/>
        <v>1</v>
      </c>
      <c r="AB305" s="12" t="b">
        <f t="shared" si="119"/>
        <v>1</v>
      </c>
      <c r="AC305" s="12" t="b">
        <f t="shared" si="120"/>
        <v>1</v>
      </c>
      <c r="AD305" s="12" t="b">
        <f t="shared" si="121"/>
        <v>1</v>
      </c>
      <c r="AE305" s="12" t="b">
        <f t="shared" si="122"/>
        <v>1</v>
      </c>
      <c r="AF305" s="12" t="b">
        <f t="shared" si="123"/>
        <v>1</v>
      </c>
    </row>
    <row r="306" spans="1:32" s="12" customFormat="1" ht="15.75" customHeight="1">
      <c r="A306" s="285"/>
      <c r="B306" s="182" t="s">
        <v>1051</v>
      </c>
      <c r="C306" s="36" t="s">
        <v>101</v>
      </c>
      <c r="D306" s="37" t="s">
        <v>82</v>
      </c>
      <c r="E306" s="37" t="s">
        <v>98</v>
      </c>
      <c r="F306" s="37" t="s">
        <v>1050</v>
      </c>
      <c r="G306" s="37" t="s">
        <v>90</v>
      </c>
      <c r="H306" s="183">
        <f t="shared" si="134"/>
        <v>1096.2</v>
      </c>
      <c r="I306" s="183">
        <f t="shared" si="134"/>
        <v>1096.2</v>
      </c>
      <c r="J306" s="183">
        <f t="shared" si="134"/>
        <v>1096.2</v>
      </c>
      <c r="K306" s="183">
        <v>1096.2</v>
      </c>
      <c r="L306" s="183">
        <v>1096.2</v>
      </c>
      <c r="M306" s="183">
        <v>1096.2</v>
      </c>
      <c r="N306" s="183"/>
      <c r="O306" s="183">
        <v>1096.2</v>
      </c>
      <c r="P306" s="183">
        <v>1096.2</v>
      </c>
      <c r="Q306" s="183">
        <v>1096.2</v>
      </c>
      <c r="R306" s="472">
        <f t="shared" si="115"/>
        <v>0</v>
      </c>
      <c r="S306" s="472">
        <f t="shared" si="116"/>
        <v>0</v>
      </c>
      <c r="T306" s="472">
        <f t="shared" si="117"/>
        <v>0</v>
      </c>
      <c r="U306" s="182" t="s">
        <v>1051</v>
      </c>
      <c r="V306" s="36" t="s">
        <v>101</v>
      </c>
      <c r="W306" s="37" t="s">
        <v>82</v>
      </c>
      <c r="X306" s="37" t="s">
        <v>98</v>
      </c>
      <c r="Y306" s="37" t="s">
        <v>1050</v>
      </c>
      <c r="Z306" s="37" t="s">
        <v>90</v>
      </c>
      <c r="AA306" s="12" t="b">
        <f t="shared" si="118"/>
        <v>1</v>
      </c>
      <c r="AB306" s="12" t="b">
        <f t="shared" si="119"/>
        <v>1</v>
      </c>
      <c r="AC306" s="12" t="b">
        <f t="shared" si="120"/>
        <v>1</v>
      </c>
      <c r="AD306" s="12" t="b">
        <f t="shared" si="121"/>
        <v>1</v>
      </c>
      <c r="AE306" s="12" t="b">
        <f t="shared" si="122"/>
        <v>1</v>
      </c>
      <c r="AF306" s="12" t="b">
        <f t="shared" si="123"/>
        <v>1</v>
      </c>
    </row>
    <row r="307" spans="1:32" s="12" customFormat="1" ht="15.75" customHeight="1">
      <c r="A307" s="285"/>
      <c r="B307" s="182" t="s">
        <v>1053</v>
      </c>
      <c r="C307" s="36" t="s">
        <v>101</v>
      </c>
      <c r="D307" s="37" t="s">
        <v>82</v>
      </c>
      <c r="E307" s="37" t="s">
        <v>98</v>
      </c>
      <c r="F307" s="37" t="s">
        <v>1052</v>
      </c>
      <c r="G307" s="37" t="s">
        <v>90</v>
      </c>
      <c r="H307" s="183">
        <f>H308</f>
        <v>1096.2</v>
      </c>
      <c r="I307" s="183">
        <f>I308</f>
        <v>1096.2</v>
      </c>
      <c r="J307" s="183">
        <f>J308</f>
        <v>1096.2</v>
      </c>
      <c r="K307" s="183">
        <v>1096.2</v>
      </c>
      <c r="L307" s="183">
        <v>1096.2</v>
      </c>
      <c r="M307" s="183">
        <v>1096.2</v>
      </c>
      <c r="N307" s="183"/>
      <c r="O307" s="183">
        <v>1096.2</v>
      </c>
      <c r="P307" s="183">
        <v>1096.2</v>
      </c>
      <c r="Q307" s="183">
        <v>1096.2</v>
      </c>
      <c r="R307" s="472">
        <f t="shared" si="115"/>
        <v>0</v>
      </c>
      <c r="S307" s="472">
        <f t="shared" si="116"/>
        <v>0</v>
      </c>
      <c r="T307" s="472">
        <f t="shared" si="117"/>
        <v>0</v>
      </c>
      <c r="U307" s="182" t="s">
        <v>1053</v>
      </c>
      <c r="V307" s="36" t="s">
        <v>101</v>
      </c>
      <c r="W307" s="37" t="s">
        <v>82</v>
      </c>
      <c r="X307" s="37" t="s">
        <v>98</v>
      </c>
      <c r="Y307" s="37" t="s">
        <v>1052</v>
      </c>
      <c r="Z307" s="37" t="s">
        <v>90</v>
      </c>
      <c r="AA307" s="12" t="b">
        <f t="shared" si="118"/>
        <v>1</v>
      </c>
      <c r="AB307" s="12" t="b">
        <f t="shared" si="119"/>
        <v>1</v>
      </c>
      <c r="AC307" s="12" t="b">
        <f t="shared" si="120"/>
        <v>1</v>
      </c>
      <c r="AD307" s="12" t="b">
        <f t="shared" si="121"/>
        <v>1</v>
      </c>
      <c r="AE307" s="12" t="b">
        <f t="shared" si="122"/>
        <v>1</v>
      </c>
      <c r="AF307" s="12" t="b">
        <f t="shared" si="123"/>
        <v>1</v>
      </c>
    </row>
    <row r="308" spans="1:32" s="12" customFormat="1" ht="15.75" customHeight="1">
      <c r="A308" s="285"/>
      <c r="B308" s="182" t="s">
        <v>189</v>
      </c>
      <c r="C308" s="36" t="s">
        <v>101</v>
      </c>
      <c r="D308" s="37" t="s">
        <v>82</v>
      </c>
      <c r="E308" s="37" t="s">
        <v>98</v>
      </c>
      <c r="F308" s="37" t="s">
        <v>1054</v>
      </c>
      <c r="G308" s="57" t="s">
        <v>90</v>
      </c>
      <c r="H308" s="58">
        <f t="shared" si="134"/>
        <v>1096.2</v>
      </c>
      <c r="I308" s="58">
        <f t="shared" si="134"/>
        <v>1096.2</v>
      </c>
      <c r="J308" s="58">
        <f t="shared" si="134"/>
        <v>1096.2</v>
      </c>
      <c r="K308" s="58">
        <v>1096.2</v>
      </c>
      <c r="L308" s="58">
        <v>1096.2</v>
      </c>
      <c r="M308" s="58">
        <v>1096.2</v>
      </c>
      <c r="N308" s="58"/>
      <c r="O308" s="58">
        <v>1096.2</v>
      </c>
      <c r="P308" s="58">
        <v>1096.2</v>
      </c>
      <c r="Q308" s="58">
        <v>1096.2</v>
      </c>
      <c r="R308" s="472">
        <f t="shared" si="115"/>
        <v>0</v>
      </c>
      <c r="S308" s="472">
        <f t="shared" si="116"/>
        <v>0</v>
      </c>
      <c r="T308" s="472">
        <f t="shared" si="117"/>
        <v>0</v>
      </c>
      <c r="U308" s="182" t="s">
        <v>189</v>
      </c>
      <c r="V308" s="36" t="s">
        <v>101</v>
      </c>
      <c r="W308" s="37" t="s">
        <v>82</v>
      </c>
      <c r="X308" s="37" t="s">
        <v>98</v>
      </c>
      <c r="Y308" s="37" t="s">
        <v>1054</v>
      </c>
      <c r="Z308" s="57" t="s">
        <v>90</v>
      </c>
      <c r="AA308" s="12" t="b">
        <f t="shared" si="118"/>
        <v>1</v>
      </c>
      <c r="AB308" s="12" t="b">
        <f t="shared" si="119"/>
        <v>1</v>
      </c>
      <c r="AC308" s="12" t="b">
        <f t="shared" si="120"/>
        <v>1</v>
      </c>
      <c r="AD308" s="12" t="b">
        <f t="shared" si="121"/>
        <v>1</v>
      </c>
      <c r="AE308" s="12" t="b">
        <f t="shared" si="122"/>
        <v>1</v>
      </c>
      <c r="AF308" s="12" t="b">
        <f t="shared" si="123"/>
        <v>1</v>
      </c>
    </row>
    <row r="309" spans="1:32" s="12" customFormat="1" ht="15.75" customHeight="1">
      <c r="A309" s="285"/>
      <c r="B309" s="182" t="s">
        <v>145</v>
      </c>
      <c r="C309" s="36" t="s">
        <v>101</v>
      </c>
      <c r="D309" s="37" t="s">
        <v>82</v>
      </c>
      <c r="E309" s="37" t="s">
        <v>98</v>
      </c>
      <c r="F309" s="37" t="s">
        <v>1054</v>
      </c>
      <c r="G309" s="37" t="s">
        <v>153</v>
      </c>
      <c r="H309" s="183">
        <v>1096.2</v>
      </c>
      <c r="I309" s="183">
        <v>1096.2</v>
      </c>
      <c r="J309" s="183">
        <v>1096.2</v>
      </c>
      <c r="K309" s="183">
        <v>1096.2</v>
      </c>
      <c r="L309" s="183">
        <v>1096.2</v>
      </c>
      <c r="M309" s="183">
        <v>1096.2</v>
      </c>
      <c r="N309" s="183"/>
      <c r="O309" s="183">
        <v>1096.2</v>
      </c>
      <c r="P309" s="183">
        <v>1096.2</v>
      </c>
      <c r="Q309" s="183">
        <v>1096.2</v>
      </c>
      <c r="R309" s="472">
        <f t="shared" si="115"/>
        <v>0</v>
      </c>
      <c r="S309" s="472">
        <f t="shared" si="116"/>
        <v>0</v>
      </c>
      <c r="T309" s="472">
        <f t="shared" si="117"/>
        <v>0</v>
      </c>
      <c r="U309" s="182" t="s">
        <v>145</v>
      </c>
      <c r="V309" s="36" t="s">
        <v>101</v>
      </c>
      <c r="W309" s="37" t="s">
        <v>82</v>
      </c>
      <c r="X309" s="37" t="s">
        <v>98</v>
      </c>
      <c r="Y309" s="37" t="s">
        <v>1054</v>
      </c>
      <c r="Z309" s="37" t="s">
        <v>153</v>
      </c>
      <c r="AA309" s="12" t="b">
        <f t="shared" si="118"/>
        <v>1</v>
      </c>
      <c r="AB309" s="12" t="b">
        <f t="shared" si="119"/>
        <v>1</v>
      </c>
      <c r="AC309" s="12" t="b">
        <f t="shared" si="120"/>
        <v>1</v>
      </c>
      <c r="AD309" s="12" t="b">
        <f t="shared" si="121"/>
        <v>1</v>
      </c>
      <c r="AE309" s="12" t="b">
        <f t="shared" si="122"/>
        <v>1</v>
      </c>
      <c r="AF309" s="12" t="b">
        <f t="shared" si="123"/>
        <v>1</v>
      </c>
    </row>
    <row r="310" spans="1:32" s="41" customFormat="1" ht="15.75" customHeight="1">
      <c r="A310" s="287"/>
      <c r="B310" s="28" t="s">
        <v>81</v>
      </c>
      <c r="C310" s="29" t="s">
        <v>101</v>
      </c>
      <c r="D310" s="30" t="s">
        <v>13</v>
      </c>
      <c r="E310" s="30" t="s">
        <v>83</v>
      </c>
      <c r="F310" s="30" t="s">
        <v>223</v>
      </c>
      <c r="G310" s="30" t="s">
        <v>90</v>
      </c>
      <c r="H310" s="31">
        <f t="shared" ref="H310:J315" si="135">H311</f>
        <v>3311.81</v>
      </c>
      <c r="I310" s="31">
        <f t="shared" si="135"/>
        <v>3311.81</v>
      </c>
      <c r="J310" s="31">
        <f t="shared" si="135"/>
        <v>3311.81</v>
      </c>
      <c r="K310" s="31">
        <v>3311.81</v>
      </c>
      <c r="L310" s="31">
        <v>3311.81</v>
      </c>
      <c r="M310" s="31">
        <v>3311.81</v>
      </c>
      <c r="N310" s="31"/>
      <c r="O310" s="31">
        <v>3311.81</v>
      </c>
      <c r="P310" s="31">
        <v>3311.81</v>
      </c>
      <c r="Q310" s="31">
        <v>3311.81</v>
      </c>
      <c r="R310" s="472">
        <f t="shared" si="115"/>
        <v>0</v>
      </c>
      <c r="S310" s="472">
        <f t="shared" si="116"/>
        <v>0</v>
      </c>
      <c r="T310" s="472">
        <f t="shared" si="117"/>
        <v>0</v>
      </c>
      <c r="U310" s="28" t="s">
        <v>81</v>
      </c>
      <c r="V310" s="29" t="s">
        <v>101</v>
      </c>
      <c r="W310" s="30" t="s">
        <v>13</v>
      </c>
      <c r="X310" s="30" t="s">
        <v>83</v>
      </c>
      <c r="Y310" s="30" t="s">
        <v>223</v>
      </c>
      <c r="Z310" s="30" t="s">
        <v>90</v>
      </c>
      <c r="AA310" s="12" t="b">
        <f t="shared" si="118"/>
        <v>1</v>
      </c>
      <c r="AB310" s="12" t="b">
        <f t="shared" si="119"/>
        <v>1</v>
      </c>
      <c r="AC310" s="12" t="b">
        <f t="shared" si="120"/>
        <v>1</v>
      </c>
      <c r="AD310" s="12" t="b">
        <f t="shared" si="121"/>
        <v>1</v>
      </c>
      <c r="AE310" s="12" t="b">
        <f t="shared" si="122"/>
        <v>1</v>
      </c>
      <c r="AF310" s="12" t="b">
        <f t="shared" si="123"/>
        <v>1</v>
      </c>
    </row>
    <row r="311" spans="1:32" s="13" customFormat="1" ht="15.75" customHeight="1">
      <c r="A311" s="288"/>
      <c r="B311" s="32" t="s">
        <v>96</v>
      </c>
      <c r="C311" s="33" t="s">
        <v>101</v>
      </c>
      <c r="D311" s="34" t="s">
        <v>13</v>
      </c>
      <c r="E311" s="34" t="s">
        <v>85</v>
      </c>
      <c r="F311" s="34" t="s">
        <v>223</v>
      </c>
      <c r="G311" s="34" t="s">
        <v>90</v>
      </c>
      <c r="H311" s="35">
        <f t="shared" si="135"/>
        <v>3311.81</v>
      </c>
      <c r="I311" s="35">
        <f t="shared" si="135"/>
        <v>3311.81</v>
      </c>
      <c r="J311" s="35">
        <f t="shared" si="135"/>
        <v>3311.81</v>
      </c>
      <c r="K311" s="35">
        <v>3311.81</v>
      </c>
      <c r="L311" s="35">
        <v>3311.81</v>
      </c>
      <c r="M311" s="35">
        <v>3311.81</v>
      </c>
      <c r="N311" s="35"/>
      <c r="O311" s="35">
        <v>3311.81</v>
      </c>
      <c r="P311" s="35">
        <v>3311.81</v>
      </c>
      <c r="Q311" s="35">
        <v>3311.81</v>
      </c>
      <c r="R311" s="472">
        <f t="shared" si="115"/>
        <v>0</v>
      </c>
      <c r="S311" s="472">
        <f t="shared" si="116"/>
        <v>0</v>
      </c>
      <c r="T311" s="472">
        <f t="shared" si="117"/>
        <v>0</v>
      </c>
      <c r="U311" s="32" t="s">
        <v>96</v>
      </c>
      <c r="V311" s="33" t="s">
        <v>101</v>
      </c>
      <c r="W311" s="34" t="s">
        <v>13</v>
      </c>
      <c r="X311" s="34" t="s">
        <v>85</v>
      </c>
      <c r="Y311" s="34" t="s">
        <v>223</v>
      </c>
      <c r="Z311" s="34" t="s">
        <v>90</v>
      </c>
      <c r="AA311" s="12" t="b">
        <f t="shared" si="118"/>
        <v>1</v>
      </c>
      <c r="AB311" s="12" t="b">
        <f t="shared" si="119"/>
        <v>1</v>
      </c>
      <c r="AC311" s="12" t="b">
        <f t="shared" si="120"/>
        <v>1</v>
      </c>
      <c r="AD311" s="12" t="b">
        <f t="shared" si="121"/>
        <v>1</v>
      </c>
      <c r="AE311" s="12" t="b">
        <f t="shared" si="122"/>
        <v>1</v>
      </c>
      <c r="AF311" s="12" t="b">
        <f t="shared" si="123"/>
        <v>1</v>
      </c>
    </row>
    <row r="312" spans="1:32" s="13" customFormat="1" ht="15.75" customHeight="1">
      <c r="A312" s="288"/>
      <c r="B312" s="182" t="s">
        <v>664</v>
      </c>
      <c r="C312" s="36" t="s">
        <v>101</v>
      </c>
      <c r="D312" s="37" t="s">
        <v>13</v>
      </c>
      <c r="E312" s="37" t="s">
        <v>85</v>
      </c>
      <c r="F312" s="37" t="s">
        <v>241</v>
      </c>
      <c r="G312" s="37" t="s">
        <v>90</v>
      </c>
      <c r="H312" s="183">
        <f t="shared" si="135"/>
        <v>3311.81</v>
      </c>
      <c r="I312" s="183">
        <f t="shared" si="135"/>
        <v>3311.81</v>
      </c>
      <c r="J312" s="183">
        <f t="shared" si="135"/>
        <v>3311.81</v>
      </c>
      <c r="K312" s="183">
        <v>3311.81</v>
      </c>
      <c r="L312" s="183">
        <v>3311.81</v>
      </c>
      <c r="M312" s="183">
        <v>3311.81</v>
      </c>
      <c r="N312" s="183"/>
      <c r="O312" s="183">
        <v>3311.81</v>
      </c>
      <c r="P312" s="183">
        <v>3311.81</v>
      </c>
      <c r="Q312" s="183">
        <v>3311.81</v>
      </c>
      <c r="R312" s="472">
        <f t="shared" si="115"/>
        <v>0</v>
      </c>
      <c r="S312" s="472">
        <f t="shared" si="116"/>
        <v>0</v>
      </c>
      <c r="T312" s="472">
        <f t="shared" si="117"/>
        <v>0</v>
      </c>
      <c r="U312" s="182" t="s">
        <v>664</v>
      </c>
      <c r="V312" s="36" t="s">
        <v>101</v>
      </c>
      <c r="W312" s="37" t="s">
        <v>13</v>
      </c>
      <c r="X312" s="37" t="s">
        <v>85</v>
      </c>
      <c r="Y312" s="37" t="s">
        <v>241</v>
      </c>
      <c r="Z312" s="37" t="s">
        <v>90</v>
      </c>
      <c r="AA312" s="12" t="b">
        <f t="shared" si="118"/>
        <v>1</v>
      </c>
      <c r="AB312" s="12" t="b">
        <f t="shared" si="119"/>
        <v>1</v>
      </c>
      <c r="AC312" s="12" t="b">
        <f t="shared" si="120"/>
        <v>1</v>
      </c>
      <c r="AD312" s="12" t="b">
        <f t="shared" si="121"/>
        <v>1</v>
      </c>
      <c r="AE312" s="12" t="b">
        <f t="shared" si="122"/>
        <v>1</v>
      </c>
      <c r="AF312" s="12" t="b">
        <f t="shared" si="123"/>
        <v>1</v>
      </c>
    </row>
    <row r="313" spans="1:32" s="13" customFormat="1" ht="15.75" customHeight="1">
      <c r="A313" s="288"/>
      <c r="B313" s="182" t="s">
        <v>1051</v>
      </c>
      <c r="C313" s="36" t="s">
        <v>101</v>
      </c>
      <c r="D313" s="37" t="s">
        <v>13</v>
      </c>
      <c r="E313" s="37" t="s">
        <v>85</v>
      </c>
      <c r="F313" s="37" t="s">
        <v>1050</v>
      </c>
      <c r="G313" s="37" t="s">
        <v>90</v>
      </c>
      <c r="H313" s="183">
        <f t="shared" si="135"/>
        <v>3311.81</v>
      </c>
      <c r="I313" s="183">
        <f t="shared" si="135"/>
        <v>3311.81</v>
      </c>
      <c r="J313" s="183">
        <f t="shared" si="135"/>
        <v>3311.81</v>
      </c>
      <c r="K313" s="183">
        <v>3311.81</v>
      </c>
      <c r="L313" s="183">
        <v>3311.81</v>
      </c>
      <c r="M313" s="183">
        <v>3311.81</v>
      </c>
      <c r="N313" s="183"/>
      <c r="O313" s="183">
        <v>3311.81</v>
      </c>
      <c r="P313" s="183">
        <v>3311.81</v>
      </c>
      <c r="Q313" s="183">
        <v>3311.81</v>
      </c>
      <c r="R313" s="472">
        <f t="shared" si="115"/>
        <v>0</v>
      </c>
      <c r="S313" s="472">
        <f t="shared" si="116"/>
        <v>0</v>
      </c>
      <c r="T313" s="472">
        <f t="shared" si="117"/>
        <v>0</v>
      </c>
      <c r="U313" s="182" t="s">
        <v>1051</v>
      </c>
      <c r="V313" s="36" t="s">
        <v>101</v>
      </c>
      <c r="W313" s="37" t="s">
        <v>13</v>
      </c>
      <c r="X313" s="37" t="s">
        <v>85</v>
      </c>
      <c r="Y313" s="37" t="s">
        <v>1050</v>
      </c>
      <c r="Z313" s="37" t="s">
        <v>90</v>
      </c>
      <c r="AA313" s="12" t="b">
        <f t="shared" si="118"/>
        <v>1</v>
      </c>
      <c r="AB313" s="12" t="b">
        <f t="shared" si="119"/>
        <v>1</v>
      </c>
      <c r="AC313" s="12" t="b">
        <f t="shared" si="120"/>
        <v>1</v>
      </c>
      <c r="AD313" s="12" t="b">
        <f t="shared" si="121"/>
        <v>1</v>
      </c>
      <c r="AE313" s="12" t="b">
        <f t="shared" si="122"/>
        <v>1</v>
      </c>
      <c r="AF313" s="12" t="b">
        <f t="shared" si="123"/>
        <v>1</v>
      </c>
    </row>
    <row r="314" spans="1:32" s="13" customFormat="1" ht="15.75" customHeight="1">
      <c r="A314" s="288"/>
      <c r="B314" s="182" t="s">
        <v>1053</v>
      </c>
      <c r="C314" s="36" t="s">
        <v>101</v>
      </c>
      <c r="D314" s="37" t="s">
        <v>13</v>
      </c>
      <c r="E314" s="37" t="s">
        <v>85</v>
      </c>
      <c r="F314" s="37" t="s">
        <v>1052</v>
      </c>
      <c r="G314" s="37" t="s">
        <v>90</v>
      </c>
      <c r="H314" s="183">
        <f>H315</f>
        <v>3311.81</v>
      </c>
      <c r="I314" s="183">
        <f>I315</f>
        <v>3311.81</v>
      </c>
      <c r="J314" s="183">
        <f>J315</f>
        <v>3311.81</v>
      </c>
      <c r="K314" s="183">
        <v>3311.81</v>
      </c>
      <c r="L314" s="183">
        <v>3311.81</v>
      </c>
      <c r="M314" s="183">
        <v>3311.81</v>
      </c>
      <c r="N314" s="183"/>
      <c r="O314" s="183">
        <v>3311.81</v>
      </c>
      <c r="P314" s="183">
        <v>3311.81</v>
      </c>
      <c r="Q314" s="183">
        <v>3311.81</v>
      </c>
      <c r="R314" s="472">
        <f t="shared" si="115"/>
        <v>0</v>
      </c>
      <c r="S314" s="472">
        <f t="shared" si="116"/>
        <v>0</v>
      </c>
      <c r="T314" s="472">
        <f t="shared" si="117"/>
        <v>0</v>
      </c>
      <c r="U314" s="182" t="s">
        <v>1053</v>
      </c>
      <c r="V314" s="36" t="s">
        <v>101</v>
      </c>
      <c r="W314" s="37" t="s">
        <v>13</v>
      </c>
      <c r="X314" s="37" t="s">
        <v>85</v>
      </c>
      <c r="Y314" s="37" t="s">
        <v>1052</v>
      </c>
      <c r="Z314" s="37" t="s">
        <v>90</v>
      </c>
      <c r="AA314" s="12" t="b">
        <f t="shared" si="118"/>
        <v>1</v>
      </c>
      <c r="AB314" s="12" t="b">
        <f t="shared" si="119"/>
        <v>1</v>
      </c>
      <c r="AC314" s="12" t="b">
        <f t="shared" si="120"/>
        <v>1</v>
      </c>
      <c r="AD314" s="12" t="b">
        <f t="shared" si="121"/>
        <v>1</v>
      </c>
      <c r="AE314" s="12" t="b">
        <f t="shared" si="122"/>
        <v>1</v>
      </c>
      <c r="AF314" s="12" t="b">
        <f t="shared" si="123"/>
        <v>1</v>
      </c>
    </row>
    <row r="315" spans="1:32" s="13" customFormat="1" ht="15.75" customHeight="1">
      <c r="A315" s="288"/>
      <c r="B315" s="182" t="s">
        <v>315</v>
      </c>
      <c r="C315" s="36" t="s">
        <v>101</v>
      </c>
      <c r="D315" s="37" t="s">
        <v>13</v>
      </c>
      <c r="E315" s="37" t="s">
        <v>85</v>
      </c>
      <c r="F315" s="37" t="s">
        <v>1055</v>
      </c>
      <c r="G315" s="37" t="s">
        <v>90</v>
      </c>
      <c r="H315" s="183">
        <f t="shared" si="135"/>
        <v>3311.81</v>
      </c>
      <c r="I315" s="183">
        <f t="shared" si="135"/>
        <v>3311.81</v>
      </c>
      <c r="J315" s="183">
        <f t="shared" si="135"/>
        <v>3311.81</v>
      </c>
      <c r="K315" s="183">
        <v>3311.81</v>
      </c>
      <c r="L315" s="183">
        <v>3311.81</v>
      </c>
      <c r="M315" s="183">
        <v>3311.81</v>
      </c>
      <c r="N315" s="183"/>
      <c r="O315" s="183">
        <v>3311.81</v>
      </c>
      <c r="P315" s="183">
        <v>3311.81</v>
      </c>
      <c r="Q315" s="183">
        <v>3311.81</v>
      </c>
      <c r="R315" s="472">
        <f t="shared" si="115"/>
        <v>0</v>
      </c>
      <c r="S315" s="472">
        <f t="shared" si="116"/>
        <v>0</v>
      </c>
      <c r="T315" s="472">
        <f t="shared" si="117"/>
        <v>0</v>
      </c>
      <c r="U315" s="182" t="s">
        <v>315</v>
      </c>
      <c r="V315" s="36" t="s">
        <v>101</v>
      </c>
      <c r="W315" s="37" t="s">
        <v>13</v>
      </c>
      <c r="X315" s="37" t="s">
        <v>85</v>
      </c>
      <c r="Y315" s="37" t="s">
        <v>1055</v>
      </c>
      <c r="Z315" s="37" t="s">
        <v>90</v>
      </c>
      <c r="AA315" s="12" t="b">
        <f t="shared" si="118"/>
        <v>1</v>
      </c>
      <c r="AB315" s="12" t="b">
        <f t="shared" si="119"/>
        <v>1</v>
      </c>
      <c r="AC315" s="12" t="b">
        <f t="shared" si="120"/>
        <v>1</v>
      </c>
      <c r="AD315" s="12" t="b">
        <f t="shared" si="121"/>
        <v>1</v>
      </c>
      <c r="AE315" s="12" t="b">
        <f t="shared" si="122"/>
        <v>1</v>
      </c>
      <c r="AF315" s="12" t="b">
        <f t="shared" si="123"/>
        <v>1</v>
      </c>
    </row>
    <row r="316" spans="1:32" s="13" customFormat="1" ht="15.75" customHeight="1">
      <c r="A316" s="288"/>
      <c r="B316" s="182" t="s">
        <v>492</v>
      </c>
      <c r="C316" s="36" t="s">
        <v>101</v>
      </c>
      <c r="D316" s="37" t="s">
        <v>13</v>
      </c>
      <c r="E316" s="37" t="s">
        <v>85</v>
      </c>
      <c r="F316" s="37" t="s">
        <v>1055</v>
      </c>
      <c r="G316" s="37" t="s">
        <v>139</v>
      </c>
      <c r="H316" s="183">
        <v>3311.81</v>
      </c>
      <c r="I316" s="183">
        <v>3311.81</v>
      </c>
      <c r="J316" s="183">
        <v>3311.81</v>
      </c>
      <c r="K316" s="183">
        <v>3311.81</v>
      </c>
      <c r="L316" s="183">
        <v>3311.81</v>
      </c>
      <c r="M316" s="183">
        <v>3311.81</v>
      </c>
      <c r="N316" s="183"/>
      <c r="O316" s="183">
        <v>3311.81</v>
      </c>
      <c r="P316" s="183">
        <v>3311.81</v>
      </c>
      <c r="Q316" s="183">
        <v>3311.81</v>
      </c>
      <c r="R316" s="472">
        <f t="shared" si="115"/>
        <v>0</v>
      </c>
      <c r="S316" s="472">
        <f t="shared" si="116"/>
        <v>0</v>
      </c>
      <c r="T316" s="472">
        <f t="shared" si="117"/>
        <v>0</v>
      </c>
      <c r="U316" s="182" t="s">
        <v>492</v>
      </c>
      <c r="V316" s="36" t="s">
        <v>101</v>
      </c>
      <c r="W316" s="37" t="s">
        <v>13</v>
      </c>
      <c r="X316" s="37" t="s">
        <v>85</v>
      </c>
      <c r="Y316" s="37" t="s">
        <v>1055</v>
      </c>
      <c r="Z316" s="37" t="s">
        <v>139</v>
      </c>
      <c r="AA316" s="12" t="b">
        <f t="shared" si="118"/>
        <v>1</v>
      </c>
      <c r="AB316" s="12" t="b">
        <f t="shared" si="119"/>
        <v>1</v>
      </c>
      <c r="AC316" s="12" t="b">
        <f t="shared" si="120"/>
        <v>1</v>
      </c>
      <c r="AD316" s="12" t="b">
        <f t="shared" si="121"/>
        <v>1</v>
      </c>
      <c r="AE316" s="12" t="b">
        <f t="shared" si="122"/>
        <v>1</v>
      </c>
      <c r="AF316" s="12" t="b">
        <f t="shared" si="123"/>
        <v>1</v>
      </c>
    </row>
    <row r="317" spans="1:32" s="12" customFormat="1" ht="15.75" customHeight="1">
      <c r="A317" s="285"/>
      <c r="B317" s="182"/>
      <c r="C317" s="36"/>
      <c r="D317" s="37"/>
      <c r="E317" s="37"/>
      <c r="F317" s="37"/>
      <c r="G317" s="37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472">
        <f t="shared" si="115"/>
        <v>0</v>
      </c>
      <c r="S317" s="472">
        <f t="shared" si="116"/>
        <v>0</v>
      </c>
      <c r="T317" s="472">
        <f t="shared" si="117"/>
        <v>0</v>
      </c>
      <c r="U317" s="182"/>
      <c r="V317" s="36"/>
      <c r="W317" s="37"/>
      <c r="X317" s="37"/>
      <c r="Y317" s="37"/>
      <c r="Z317" s="37"/>
      <c r="AA317" s="12" t="b">
        <f t="shared" si="118"/>
        <v>1</v>
      </c>
      <c r="AB317" s="12" t="b">
        <f t="shared" si="119"/>
        <v>1</v>
      </c>
      <c r="AC317" s="12" t="b">
        <f t="shared" si="120"/>
        <v>1</v>
      </c>
      <c r="AD317" s="12" t="b">
        <f t="shared" si="121"/>
        <v>1</v>
      </c>
      <c r="AE317" s="12" t="b">
        <f t="shared" si="122"/>
        <v>1</v>
      </c>
      <c r="AF317" s="12" t="b">
        <f t="shared" si="123"/>
        <v>1</v>
      </c>
    </row>
    <row r="318" spans="1:32" s="44" customFormat="1" ht="15.75" customHeight="1">
      <c r="A318" s="285"/>
      <c r="B318" s="42" t="s">
        <v>205</v>
      </c>
      <c r="C318" s="25" t="s">
        <v>102</v>
      </c>
      <c r="D318" s="26" t="s">
        <v>83</v>
      </c>
      <c r="E318" s="26" t="s">
        <v>83</v>
      </c>
      <c r="F318" s="26" t="s">
        <v>223</v>
      </c>
      <c r="G318" s="26" t="s">
        <v>90</v>
      </c>
      <c r="H318" s="43">
        <f>H319+H485</f>
        <v>8153270.9999999991</v>
      </c>
      <c r="I318" s="43">
        <f>I319+I485</f>
        <v>6708779.4199999999</v>
      </c>
      <c r="J318" s="43">
        <f>J319+J485</f>
        <v>6698943.0899999999</v>
      </c>
      <c r="K318" s="43">
        <v>7902985.9399999985</v>
      </c>
      <c r="L318" s="43">
        <v>6066493.5099999998</v>
      </c>
      <c r="M318" s="43">
        <v>6072284.0300000012</v>
      </c>
      <c r="N318" s="43">
        <f>M318-J318</f>
        <v>-626659.05999999866</v>
      </c>
      <c r="O318" s="43">
        <v>7875103.9299999997</v>
      </c>
      <c r="P318" s="43">
        <v>6038278.5500000007</v>
      </c>
      <c r="Q318" s="43">
        <v>6058254.0099999998</v>
      </c>
      <c r="R318" s="472">
        <f t="shared" si="115"/>
        <v>278167.06999999937</v>
      </c>
      <c r="S318" s="472">
        <f t="shared" si="116"/>
        <v>670500.86999999918</v>
      </c>
      <c r="T318" s="472">
        <f t="shared" si="117"/>
        <v>640689.08000000007</v>
      </c>
      <c r="U318" s="42" t="s">
        <v>205</v>
      </c>
      <c r="V318" s="25" t="s">
        <v>102</v>
      </c>
      <c r="W318" s="26" t="s">
        <v>83</v>
      </c>
      <c r="X318" s="26" t="s">
        <v>83</v>
      </c>
      <c r="Y318" s="26" t="s">
        <v>223</v>
      </c>
      <c r="Z318" s="26" t="s">
        <v>90</v>
      </c>
      <c r="AA318" s="12" t="b">
        <f t="shared" si="118"/>
        <v>1</v>
      </c>
      <c r="AB318" s="12" t="b">
        <f t="shared" si="119"/>
        <v>1</v>
      </c>
      <c r="AC318" s="12" t="b">
        <f t="shared" si="120"/>
        <v>1</v>
      </c>
      <c r="AD318" s="12" t="b">
        <f t="shared" si="121"/>
        <v>1</v>
      </c>
      <c r="AE318" s="12" t="b">
        <f t="shared" si="122"/>
        <v>1</v>
      </c>
      <c r="AF318" s="12" t="b">
        <f t="shared" si="123"/>
        <v>1</v>
      </c>
    </row>
    <row r="319" spans="1:32" s="44" customFormat="1" ht="15.75" customHeight="1">
      <c r="A319" s="285"/>
      <c r="B319" s="28" t="s">
        <v>103</v>
      </c>
      <c r="C319" s="29" t="s">
        <v>102</v>
      </c>
      <c r="D319" s="30" t="s">
        <v>104</v>
      </c>
      <c r="E319" s="30" t="s">
        <v>83</v>
      </c>
      <c r="F319" s="30" t="s">
        <v>223</v>
      </c>
      <c r="G319" s="30" t="s">
        <v>90</v>
      </c>
      <c r="H319" s="31">
        <f>H320+H354+H451+H420</f>
        <v>7989314.5399999991</v>
      </c>
      <c r="I319" s="31">
        <f>I320+I354+I451+I420</f>
        <v>6547512.3300000001</v>
      </c>
      <c r="J319" s="31">
        <f>J320+J354+J451+J420</f>
        <v>6535941.0800000001</v>
      </c>
      <c r="K319" s="31">
        <v>7743391.3899999987</v>
      </c>
      <c r="L319" s="31">
        <v>5905226.4199999999</v>
      </c>
      <c r="M319" s="31">
        <v>5909282.0300000012</v>
      </c>
      <c r="N319" s="43">
        <f t="shared" ref="N319:N382" si="136">M319-J319</f>
        <v>-626659.04999999888</v>
      </c>
      <c r="O319" s="31">
        <v>7715509.3799999999</v>
      </c>
      <c r="P319" s="31">
        <v>5877011.4600000009</v>
      </c>
      <c r="Q319" s="31">
        <v>5895252.0099999998</v>
      </c>
      <c r="R319" s="472">
        <f t="shared" si="115"/>
        <v>273805.15999999922</v>
      </c>
      <c r="S319" s="472">
        <f t="shared" si="116"/>
        <v>670500.86999999918</v>
      </c>
      <c r="T319" s="472">
        <f t="shared" si="117"/>
        <v>640689.0700000003</v>
      </c>
      <c r="U319" s="28" t="s">
        <v>103</v>
      </c>
      <c r="V319" s="29" t="s">
        <v>102</v>
      </c>
      <c r="W319" s="30" t="s">
        <v>104</v>
      </c>
      <c r="X319" s="30" t="s">
        <v>83</v>
      </c>
      <c r="Y319" s="30" t="s">
        <v>223</v>
      </c>
      <c r="Z319" s="30" t="s">
        <v>90</v>
      </c>
      <c r="AA319" s="12" t="b">
        <f t="shared" si="118"/>
        <v>1</v>
      </c>
      <c r="AB319" s="12" t="b">
        <f t="shared" si="119"/>
        <v>1</v>
      </c>
      <c r="AC319" s="12" t="b">
        <f t="shared" si="120"/>
        <v>1</v>
      </c>
      <c r="AD319" s="12" t="b">
        <f t="shared" si="121"/>
        <v>1</v>
      </c>
      <c r="AE319" s="12" t="b">
        <f t="shared" si="122"/>
        <v>1</v>
      </c>
      <c r="AF319" s="12" t="b">
        <f t="shared" si="123"/>
        <v>1</v>
      </c>
    </row>
    <row r="320" spans="1:32" s="44" customFormat="1" ht="15.75" customHeight="1">
      <c r="A320" s="285"/>
      <c r="B320" s="32" t="s">
        <v>105</v>
      </c>
      <c r="C320" s="33" t="s">
        <v>102</v>
      </c>
      <c r="D320" s="34" t="s">
        <v>104</v>
      </c>
      <c r="E320" s="34" t="s">
        <v>98</v>
      </c>
      <c r="F320" s="34" t="s">
        <v>223</v>
      </c>
      <c r="G320" s="34" t="s">
        <v>90</v>
      </c>
      <c r="H320" s="35">
        <f>H321+H337+H343+H349</f>
        <v>2597695.7799999998</v>
      </c>
      <c r="I320" s="35">
        <f>I321+I337+I343+I349</f>
        <v>2577595.16</v>
      </c>
      <c r="J320" s="35">
        <f>J321+J337+J343+J349</f>
        <v>2574981.2200000002</v>
      </c>
      <c r="K320" s="35">
        <v>2597695.7799999998</v>
      </c>
      <c r="L320" s="35">
        <v>2577595.16</v>
      </c>
      <c r="M320" s="35">
        <v>2574981.2200000002</v>
      </c>
      <c r="N320" s="43">
        <f t="shared" si="136"/>
        <v>0</v>
      </c>
      <c r="O320" s="35">
        <v>2582709.2999999998</v>
      </c>
      <c r="P320" s="35">
        <v>2562608.6800000002</v>
      </c>
      <c r="Q320" s="35">
        <v>2568397.66</v>
      </c>
      <c r="R320" s="472">
        <f t="shared" si="115"/>
        <v>14986.479999999981</v>
      </c>
      <c r="S320" s="472">
        <f t="shared" si="116"/>
        <v>14986.479999999981</v>
      </c>
      <c r="T320" s="472">
        <f t="shared" si="117"/>
        <v>6583.5600000000559</v>
      </c>
      <c r="U320" s="32" t="s">
        <v>105</v>
      </c>
      <c r="V320" s="33" t="s">
        <v>102</v>
      </c>
      <c r="W320" s="34" t="s">
        <v>104</v>
      </c>
      <c r="X320" s="34" t="s">
        <v>98</v>
      </c>
      <c r="Y320" s="34" t="s">
        <v>223</v>
      </c>
      <c r="Z320" s="34" t="s">
        <v>90</v>
      </c>
      <c r="AA320" s="12" t="b">
        <f t="shared" si="118"/>
        <v>1</v>
      </c>
      <c r="AB320" s="12" t="b">
        <f t="shared" si="119"/>
        <v>1</v>
      </c>
      <c r="AC320" s="12" t="b">
        <f t="shared" si="120"/>
        <v>1</v>
      </c>
      <c r="AD320" s="12" t="b">
        <f t="shared" si="121"/>
        <v>1</v>
      </c>
      <c r="AE320" s="12" t="b">
        <f t="shared" si="122"/>
        <v>1</v>
      </c>
      <c r="AF320" s="12" t="b">
        <f t="shared" si="123"/>
        <v>1</v>
      </c>
    </row>
    <row r="321" spans="1:32" s="44" customFormat="1" ht="15.75" customHeight="1">
      <c r="A321" s="285"/>
      <c r="B321" s="23" t="s">
        <v>647</v>
      </c>
      <c r="C321" s="36" t="s">
        <v>102</v>
      </c>
      <c r="D321" s="37" t="s">
        <v>104</v>
      </c>
      <c r="E321" s="37" t="s">
        <v>98</v>
      </c>
      <c r="F321" s="37" t="s">
        <v>316</v>
      </c>
      <c r="G321" s="37" t="s">
        <v>90</v>
      </c>
      <c r="H321" s="183">
        <f t="shared" ref="H321:J321" si="137">H322</f>
        <v>2494240.5699999998</v>
      </c>
      <c r="I321" s="183">
        <f t="shared" si="137"/>
        <v>2506333</v>
      </c>
      <c r="J321" s="183">
        <f t="shared" si="137"/>
        <v>2503719.06</v>
      </c>
      <c r="K321" s="183">
        <v>2494240.5699999998</v>
      </c>
      <c r="L321" s="183">
        <v>2506333</v>
      </c>
      <c r="M321" s="183">
        <v>2503719.06</v>
      </c>
      <c r="N321" s="43">
        <f t="shared" si="136"/>
        <v>0</v>
      </c>
      <c r="O321" s="183">
        <v>2479254.09</v>
      </c>
      <c r="P321" s="183">
        <v>2491346.52</v>
      </c>
      <c r="Q321" s="183">
        <v>2497135.5</v>
      </c>
      <c r="R321" s="472">
        <f t="shared" si="115"/>
        <v>14986.479999999981</v>
      </c>
      <c r="S321" s="472">
        <f t="shared" si="116"/>
        <v>14986.479999999981</v>
      </c>
      <c r="T321" s="472">
        <f t="shared" si="117"/>
        <v>6583.5600000000559</v>
      </c>
      <c r="U321" s="23" t="s">
        <v>647</v>
      </c>
      <c r="V321" s="36" t="s">
        <v>102</v>
      </c>
      <c r="W321" s="37" t="s">
        <v>104</v>
      </c>
      <c r="X321" s="37" t="s">
        <v>98</v>
      </c>
      <c r="Y321" s="37" t="s">
        <v>316</v>
      </c>
      <c r="Z321" s="37" t="s">
        <v>90</v>
      </c>
      <c r="AA321" s="12" t="b">
        <f t="shared" si="118"/>
        <v>1</v>
      </c>
      <c r="AB321" s="12" t="b">
        <f t="shared" si="119"/>
        <v>1</v>
      </c>
      <c r="AC321" s="12" t="b">
        <f t="shared" si="120"/>
        <v>1</v>
      </c>
      <c r="AD321" s="12" t="b">
        <f t="shared" si="121"/>
        <v>1</v>
      </c>
      <c r="AE321" s="12" t="b">
        <f t="shared" si="122"/>
        <v>1</v>
      </c>
      <c r="AF321" s="12" t="b">
        <f t="shared" si="123"/>
        <v>1</v>
      </c>
    </row>
    <row r="322" spans="1:32" s="44" customFormat="1" ht="15.75" customHeight="1">
      <c r="A322" s="285"/>
      <c r="B322" s="23" t="s">
        <v>740</v>
      </c>
      <c r="C322" s="36" t="s">
        <v>102</v>
      </c>
      <c r="D322" s="37" t="s">
        <v>104</v>
      </c>
      <c r="E322" s="37" t="s">
        <v>98</v>
      </c>
      <c r="F322" s="37" t="s">
        <v>317</v>
      </c>
      <c r="G322" s="37" t="s">
        <v>90</v>
      </c>
      <c r="H322" s="183">
        <f>H323+H334</f>
        <v>2494240.5699999998</v>
      </c>
      <c r="I322" s="183">
        <f>I323+I334</f>
        <v>2506333</v>
      </c>
      <c r="J322" s="183">
        <f>J323+J334</f>
        <v>2503719.06</v>
      </c>
      <c r="K322" s="183">
        <v>2494240.5699999998</v>
      </c>
      <c r="L322" s="183">
        <v>2506333</v>
      </c>
      <c r="M322" s="183">
        <v>2503719.06</v>
      </c>
      <c r="N322" s="43">
        <f t="shared" si="136"/>
        <v>0</v>
      </c>
      <c r="O322" s="183">
        <v>2479254.09</v>
      </c>
      <c r="P322" s="183">
        <v>2491346.52</v>
      </c>
      <c r="Q322" s="183">
        <v>2497135.5</v>
      </c>
      <c r="R322" s="472">
        <f t="shared" si="115"/>
        <v>14986.479999999981</v>
      </c>
      <c r="S322" s="472">
        <f t="shared" si="116"/>
        <v>14986.479999999981</v>
      </c>
      <c r="T322" s="472">
        <f t="shared" si="117"/>
        <v>6583.5600000000559</v>
      </c>
      <c r="U322" s="23" t="s">
        <v>740</v>
      </c>
      <c r="V322" s="36" t="s">
        <v>102</v>
      </c>
      <c r="W322" s="37" t="s">
        <v>104</v>
      </c>
      <c r="X322" s="37" t="s">
        <v>98</v>
      </c>
      <c r="Y322" s="37" t="s">
        <v>317</v>
      </c>
      <c r="Z322" s="37" t="s">
        <v>90</v>
      </c>
      <c r="AA322" s="12" t="b">
        <f t="shared" si="118"/>
        <v>1</v>
      </c>
      <c r="AB322" s="12" t="b">
        <f t="shared" si="119"/>
        <v>1</v>
      </c>
      <c r="AC322" s="12" t="b">
        <f t="shared" si="120"/>
        <v>1</v>
      </c>
      <c r="AD322" s="12" t="b">
        <f t="shared" si="121"/>
        <v>1</v>
      </c>
      <c r="AE322" s="12" t="b">
        <f t="shared" si="122"/>
        <v>1</v>
      </c>
      <c r="AF322" s="12" t="b">
        <f t="shared" si="123"/>
        <v>1</v>
      </c>
    </row>
    <row r="323" spans="1:32" s="44" customFormat="1" ht="15.75" customHeight="1">
      <c r="A323" s="285"/>
      <c r="B323" s="23" t="s">
        <v>524</v>
      </c>
      <c r="C323" s="36" t="s">
        <v>102</v>
      </c>
      <c r="D323" s="37" t="s">
        <v>104</v>
      </c>
      <c r="E323" s="37" t="s">
        <v>98</v>
      </c>
      <c r="F323" s="37" t="s">
        <v>318</v>
      </c>
      <c r="G323" s="37" t="s">
        <v>90</v>
      </c>
      <c r="H323" s="183">
        <f>H324+H328</f>
        <v>2485837.65</v>
      </c>
      <c r="I323" s="183">
        <f t="shared" ref="I323:J323" si="138">I324+I328</f>
        <v>2497930.08</v>
      </c>
      <c r="J323" s="183">
        <f t="shared" si="138"/>
        <v>2503719.06</v>
      </c>
      <c r="K323" s="183">
        <v>2485837.65</v>
      </c>
      <c r="L323" s="183">
        <v>2497930.08</v>
      </c>
      <c r="M323" s="183">
        <v>2503719.06</v>
      </c>
      <c r="N323" s="43">
        <f t="shared" si="136"/>
        <v>0</v>
      </c>
      <c r="O323" s="183">
        <v>2470851.17</v>
      </c>
      <c r="P323" s="183">
        <v>2482943.6</v>
      </c>
      <c r="Q323" s="183">
        <v>2488732.58</v>
      </c>
      <c r="R323" s="472">
        <f t="shared" ref="R323:R378" si="139">H323-O323</f>
        <v>14986.479999999981</v>
      </c>
      <c r="S323" s="472">
        <f t="shared" ref="S323:S378" si="140">I323-P323</f>
        <v>14986.479999999981</v>
      </c>
      <c r="T323" s="472">
        <f t="shared" ref="T323:T378" si="141">J323-Q323</f>
        <v>14986.479999999981</v>
      </c>
      <c r="U323" s="23" t="s">
        <v>524</v>
      </c>
      <c r="V323" s="36" t="s">
        <v>102</v>
      </c>
      <c r="W323" s="37" t="s">
        <v>104</v>
      </c>
      <c r="X323" s="37" t="s">
        <v>98</v>
      </c>
      <c r="Y323" s="37" t="s">
        <v>318</v>
      </c>
      <c r="Z323" s="37" t="s">
        <v>90</v>
      </c>
      <c r="AA323" s="12" t="b">
        <f t="shared" si="118"/>
        <v>1</v>
      </c>
      <c r="AB323" s="12" t="b">
        <f t="shared" si="119"/>
        <v>1</v>
      </c>
      <c r="AC323" s="12" t="b">
        <f t="shared" si="120"/>
        <v>1</v>
      </c>
      <c r="AD323" s="12" t="b">
        <f t="shared" si="121"/>
        <v>1</v>
      </c>
      <c r="AE323" s="12" t="b">
        <f t="shared" si="122"/>
        <v>1</v>
      </c>
      <c r="AF323" s="12" t="b">
        <f t="shared" si="123"/>
        <v>1</v>
      </c>
    </row>
    <row r="324" spans="1:32" s="44" customFormat="1" ht="15.75" customHeight="1">
      <c r="A324" s="285"/>
      <c r="B324" s="23" t="s">
        <v>254</v>
      </c>
      <c r="C324" s="36" t="s">
        <v>102</v>
      </c>
      <c r="D324" s="37" t="s">
        <v>104</v>
      </c>
      <c r="E324" s="37" t="s">
        <v>98</v>
      </c>
      <c r="F324" s="37" t="s">
        <v>319</v>
      </c>
      <c r="G324" s="37" t="s">
        <v>90</v>
      </c>
      <c r="H324" s="183">
        <f>H325+H326+H327</f>
        <v>1314245.8399999999</v>
      </c>
      <c r="I324" s="183">
        <f t="shared" ref="I324:J324" si="142">I325+I326+I327</f>
        <v>1326338.2699999998</v>
      </c>
      <c r="J324" s="183">
        <f t="shared" si="142"/>
        <v>1332127.25</v>
      </c>
      <c r="K324" s="183">
        <v>1314245.8399999999</v>
      </c>
      <c r="L324" s="183">
        <v>1326338.2699999998</v>
      </c>
      <c r="M324" s="183">
        <v>1332127.25</v>
      </c>
      <c r="N324" s="43">
        <f t="shared" si="136"/>
        <v>0</v>
      </c>
      <c r="O324" s="183">
        <v>1299259.3600000001</v>
      </c>
      <c r="P324" s="183">
        <v>1311351.79</v>
      </c>
      <c r="Q324" s="183">
        <v>1317140.77</v>
      </c>
      <c r="R324" s="472">
        <f t="shared" si="139"/>
        <v>14986.479999999749</v>
      </c>
      <c r="S324" s="472">
        <f t="shared" si="140"/>
        <v>14986.479999999749</v>
      </c>
      <c r="T324" s="472">
        <f t="shared" si="141"/>
        <v>14986.479999999981</v>
      </c>
      <c r="U324" s="23" t="s">
        <v>254</v>
      </c>
      <c r="V324" s="36" t="s">
        <v>102</v>
      </c>
      <c r="W324" s="37" t="s">
        <v>104</v>
      </c>
      <c r="X324" s="37" t="s">
        <v>98</v>
      </c>
      <c r="Y324" s="37" t="s">
        <v>319</v>
      </c>
      <c r="Z324" s="37" t="s">
        <v>90</v>
      </c>
      <c r="AA324" s="12" t="b">
        <f t="shared" ref="AA324:AA378" si="143">B324=U324</f>
        <v>1</v>
      </c>
      <c r="AB324" s="12" t="b">
        <f t="shared" ref="AB324:AB378" si="144">C324=V324</f>
        <v>1</v>
      </c>
      <c r="AC324" s="12" t="b">
        <f t="shared" ref="AC324:AC378" si="145">D324=W324</f>
        <v>1</v>
      </c>
      <c r="AD324" s="12" t="b">
        <f t="shared" ref="AD324:AD378" si="146">E324=X324</f>
        <v>1</v>
      </c>
      <c r="AE324" s="12" t="b">
        <f t="shared" ref="AE324:AE378" si="147">F324=Y324</f>
        <v>1</v>
      </c>
      <c r="AF324" s="12" t="b">
        <f t="shared" ref="AF324:AF378" si="148">G324=Z324</f>
        <v>1</v>
      </c>
    </row>
    <row r="325" spans="1:32" s="44" customFormat="1" ht="15.75" customHeight="1">
      <c r="A325" s="285"/>
      <c r="B325" s="65" t="s">
        <v>132</v>
      </c>
      <c r="C325" s="56" t="s">
        <v>102</v>
      </c>
      <c r="D325" s="57" t="s">
        <v>104</v>
      </c>
      <c r="E325" s="57" t="s">
        <v>98</v>
      </c>
      <c r="F325" s="57" t="s">
        <v>319</v>
      </c>
      <c r="G325" s="57" t="s">
        <v>171</v>
      </c>
      <c r="H325" s="58">
        <f>1253313.75+14631.4</f>
        <v>1267945.1499999999</v>
      </c>
      <c r="I325" s="58">
        <f>1265327.7+14631.4</f>
        <v>1279959.0999999999</v>
      </c>
      <c r="J325" s="58">
        <f>1270882.04+14631.4</f>
        <v>1285513.44</v>
      </c>
      <c r="K325" s="58">
        <v>1267945.1499999999</v>
      </c>
      <c r="L325" s="58">
        <v>1279959.0999999999</v>
      </c>
      <c r="M325" s="58">
        <v>1285513.44</v>
      </c>
      <c r="N325" s="43">
        <f t="shared" si="136"/>
        <v>0</v>
      </c>
      <c r="O325" s="58">
        <v>1253313.75</v>
      </c>
      <c r="P325" s="58">
        <v>1265327.7</v>
      </c>
      <c r="Q325" s="58">
        <v>1270882.04</v>
      </c>
      <c r="R325" s="472">
        <f t="shared" si="139"/>
        <v>14631.399999999907</v>
      </c>
      <c r="S325" s="472">
        <f t="shared" si="140"/>
        <v>14631.399999999907</v>
      </c>
      <c r="T325" s="472">
        <f t="shared" si="141"/>
        <v>14631.399999999907</v>
      </c>
      <c r="U325" s="65" t="s">
        <v>132</v>
      </c>
      <c r="V325" s="56" t="s">
        <v>102</v>
      </c>
      <c r="W325" s="57" t="s">
        <v>104</v>
      </c>
      <c r="X325" s="57" t="s">
        <v>98</v>
      </c>
      <c r="Y325" s="57" t="s">
        <v>319</v>
      </c>
      <c r="Z325" s="57" t="s">
        <v>171</v>
      </c>
      <c r="AA325" s="12" t="b">
        <f t="shared" si="143"/>
        <v>1</v>
      </c>
      <c r="AB325" s="12" t="b">
        <f t="shared" si="144"/>
        <v>1</v>
      </c>
      <c r="AC325" s="12" t="b">
        <f t="shared" si="145"/>
        <v>1</v>
      </c>
      <c r="AD325" s="12" t="b">
        <f t="shared" si="146"/>
        <v>1</v>
      </c>
      <c r="AE325" s="12" t="b">
        <f t="shared" si="147"/>
        <v>1</v>
      </c>
      <c r="AF325" s="12" t="b">
        <f t="shared" si="148"/>
        <v>1</v>
      </c>
    </row>
    <row r="326" spans="1:32" s="44" customFormat="1" ht="15.75" customHeight="1">
      <c r="A326" s="285"/>
      <c r="B326" s="65" t="s">
        <v>133</v>
      </c>
      <c r="C326" s="56" t="s">
        <v>102</v>
      </c>
      <c r="D326" s="57" t="s">
        <v>104</v>
      </c>
      <c r="E326" s="57" t="s">
        <v>98</v>
      </c>
      <c r="F326" s="57" t="s">
        <v>319</v>
      </c>
      <c r="G326" s="57" t="s">
        <v>19</v>
      </c>
      <c r="H326" s="58">
        <f>44363.61+355.08</f>
        <v>44718.69</v>
      </c>
      <c r="I326" s="58">
        <f>44442.09+355.08</f>
        <v>44797.17</v>
      </c>
      <c r="J326" s="58">
        <f>44676.73+355.08</f>
        <v>45031.810000000005</v>
      </c>
      <c r="K326" s="58">
        <v>44718.69</v>
      </c>
      <c r="L326" s="58">
        <v>44797.17</v>
      </c>
      <c r="M326" s="58">
        <v>45031.810000000005</v>
      </c>
      <c r="N326" s="43">
        <f t="shared" si="136"/>
        <v>0</v>
      </c>
      <c r="O326" s="58">
        <v>44363.61</v>
      </c>
      <c r="P326" s="58">
        <v>44442.09</v>
      </c>
      <c r="Q326" s="58">
        <v>44676.73</v>
      </c>
      <c r="R326" s="472">
        <f t="shared" si="139"/>
        <v>355.08000000000175</v>
      </c>
      <c r="S326" s="472">
        <f t="shared" si="140"/>
        <v>355.08000000000175</v>
      </c>
      <c r="T326" s="472">
        <f t="shared" si="141"/>
        <v>355.08000000000175</v>
      </c>
      <c r="U326" s="65" t="s">
        <v>133</v>
      </c>
      <c r="V326" s="56" t="s">
        <v>102</v>
      </c>
      <c r="W326" s="57" t="s">
        <v>104</v>
      </c>
      <c r="X326" s="57" t="s">
        <v>98</v>
      </c>
      <c r="Y326" s="57" t="s">
        <v>319</v>
      </c>
      <c r="Z326" s="57" t="s">
        <v>19</v>
      </c>
      <c r="AA326" s="12" t="b">
        <f t="shared" si="143"/>
        <v>1</v>
      </c>
      <c r="AB326" s="12" t="b">
        <f t="shared" si="144"/>
        <v>1</v>
      </c>
      <c r="AC326" s="12" t="b">
        <f t="shared" si="145"/>
        <v>1</v>
      </c>
      <c r="AD326" s="12" t="b">
        <f t="shared" si="146"/>
        <v>1</v>
      </c>
      <c r="AE326" s="12" t="b">
        <f t="shared" si="147"/>
        <v>1</v>
      </c>
      <c r="AF326" s="12" t="b">
        <f t="shared" si="148"/>
        <v>1</v>
      </c>
    </row>
    <row r="327" spans="1:32" s="44" customFormat="1" ht="15.75" customHeight="1">
      <c r="A327" s="285"/>
      <c r="B327" s="68" t="s">
        <v>492</v>
      </c>
      <c r="C327" s="36" t="s">
        <v>102</v>
      </c>
      <c r="D327" s="37" t="s">
        <v>104</v>
      </c>
      <c r="E327" s="37" t="s">
        <v>98</v>
      </c>
      <c r="F327" s="37" t="s">
        <v>319</v>
      </c>
      <c r="G327" s="37" t="s">
        <v>139</v>
      </c>
      <c r="H327" s="183">
        <v>1582</v>
      </c>
      <c r="I327" s="183">
        <v>1582</v>
      </c>
      <c r="J327" s="183">
        <v>1582</v>
      </c>
      <c r="K327" s="183">
        <v>1582</v>
      </c>
      <c r="L327" s="183">
        <v>1582</v>
      </c>
      <c r="M327" s="183">
        <v>1582</v>
      </c>
      <c r="N327" s="43">
        <f t="shared" si="136"/>
        <v>0</v>
      </c>
      <c r="O327" s="183">
        <v>1582</v>
      </c>
      <c r="P327" s="183">
        <v>1582</v>
      </c>
      <c r="Q327" s="183">
        <v>1582</v>
      </c>
      <c r="R327" s="472">
        <f t="shared" si="139"/>
        <v>0</v>
      </c>
      <c r="S327" s="472">
        <f t="shared" si="140"/>
        <v>0</v>
      </c>
      <c r="T327" s="472">
        <f t="shared" si="141"/>
        <v>0</v>
      </c>
      <c r="U327" s="68" t="s">
        <v>492</v>
      </c>
      <c r="V327" s="36" t="s">
        <v>102</v>
      </c>
      <c r="W327" s="37" t="s">
        <v>104</v>
      </c>
      <c r="X327" s="37" t="s">
        <v>98</v>
      </c>
      <c r="Y327" s="37" t="s">
        <v>319</v>
      </c>
      <c r="Z327" s="37" t="s">
        <v>139</v>
      </c>
      <c r="AA327" s="12" t="b">
        <f t="shared" si="143"/>
        <v>1</v>
      </c>
      <c r="AB327" s="12" t="b">
        <f t="shared" si="144"/>
        <v>1</v>
      </c>
      <c r="AC327" s="12" t="b">
        <f t="shared" si="145"/>
        <v>1</v>
      </c>
      <c r="AD327" s="12" t="b">
        <f t="shared" si="146"/>
        <v>1</v>
      </c>
      <c r="AE327" s="12" t="b">
        <f t="shared" si="147"/>
        <v>1</v>
      </c>
      <c r="AF327" s="12" t="b">
        <f t="shared" si="148"/>
        <v>1</v>
      </c>
    </row>
    <row r="328" spans="1:32" s="44" customFormat="1" ht="15.75" customHeight="1">
      <c r="A328" s="285" t="s">
        <v>799</v>
      </c>
      <c r="B328" s="23" t="s">
        <v>840</v>
      </c>
      <c r="C328" s="36" t="s">
        <v>102</v>
      </c>
      <c r="D328" s="37" t="s">
        <v>104</v>
      </c>
      <c r="E328" s="37" t="s">
        <v>98</v>
      </c>
      <c r="F328" s="37" t="s">
        <v>320</v>
      </c>
      <c r="G328" s="37" t="s">
        <v>90</v>
      </c>
      <c r="H328" s="183">
        <f>H329+H330+H331+H332+H333</f>
        <v>1171591.81</v>
      </c>
      <c r="I328" s="183">
        <f>I329+I330+I331+I332+I333</f>
        <v>1171591.81</v>
      </c>
      <c r="J328" s="183">
        <f>J329+J330+J331+J332+J333</f>
        <v>1171591.81</v>
      </c>
      <c r="K328" s="183">
        <v>1171591.81</v>
      </c>
      <c r="L328" s="183">
        <v>1171591.81</v>
      </c>
      <c r="M328" s="183">
        <v>1171591.81</v>
      </c>
      <c r="N328" s="43">
        <f t="shared" si="136"/>
        <v>0</v>
      </c>
      <c r="O328" s="183">
        <v>1171591.81</v>
      </c>
      <c r="P328" s="183">
        <v>1171591.81</v>
      </c>
      <c r="Q328" s="183">
        <v>1171591.81</v>
      </c>
      <c r="R328" s="472">
        <f t="shared" si="139"/>
        <v>0</v>
      </c>
      <c r="S328" s="472">
        <f t="shared" si="140"/>
        <v>0</v>
      </c>
      <c r="T328" s="472">
        <f t="shared" si="141"/>
        <v>0</v>
      </c>
      <c r="U328" s="23" t="s">
        <v>840</v>
      </c>
      <c r="V328" s="36" t="s">
        <v>102</v>
      </c>
      <c r="W328" s="37" t="s">
        <v>104</v>
      </c>
      <c r="X328" s="37" t="s">
        <v>98</v>
      </c>
      <c r="Y328" s="37" t="s">
        <v>320</v>
      </c>
      <c r="Z328" s="37" t="s">
        <v>90</v>
      </c>
      <c r="AA328" s="12" t="b">
        <f t="shared" si="143"/>
        <v>1</v>
      </c>
      <c r="AB328" s="12" t="b">
        <f t="shared" si="144"/>
        <v>1</v>
      </c>
      <c r="AC328" s="12" t="b">
        <f t="shared" si="145"/>
        <v>1</v>
      </c>
      <c r="AD328" s="12" t="b">
        <f t="shared" si="146"/>
        <v>1</v>
      </c>
      <c r="AE328" s="12" t="b">
        <f t="shared" si="147"/>
        <v>1</v>
      </c>
      <c r="AF328" s="12" t="b">
        <f t="shared" si="148"/>
        <v>1</v>
      </c>
    </row>
    <row r="329" spans="1:32" s="44" customFormat="1" ht="15.75" customHeight="1">
      <c r="A329" s="285"/>
      <c r="B329" s="23" t="s">
        <v>147</v>
      </c>
      <c r="C329" s="36" t="s">
        <v>102</v>
      </c>
      <c r="D329" s="37" t="s">
        <v>104</v>
      </c>
      <c r="E329" s="37" t="s">
        <v>98</v>
      </c>
      <c r="F329" s="37" t="s">
        <v>320</v>
      </c>
      <c r="G329" s="37" t="s">
        <v>154</v>
      </c>
      <c r="H329" s="183">
        <v>540</v>
      </c>
      <c r="I329" s="183">
        <v>540</v>
      </c>
      <c r="J329" s="183">
        <v>540</v>
      </c>
      <c r="K329" s="183">
        <v>540</v>
      </c>
      <c r="L329" s="183">
        <v>540</v>
      </c>
      <c r="M329" s="183">
        <v>540</v>
      </c>
      <c r="N329" s="43">
        <f t="shared" si="136"/>
        <v>0</v>
      </c>
      <c r="O329" s="183">
        <v>540</v>
      </c>
      <c r="P329" s="183">
        <v>540</v>
      </c>
      <c r="Q329" s="183">
        <v>540</v>
      </c>
      <c r="R329" s="472">
        <f t="shared" si="139"/>
        <v>0</v>
      </c>
      <c r="S329" s="472">
        <f t="shared" si="140"/>
        <v>0</v>
      </c>
      <c r="T329" s="472">
        <f t="shared" si="141"/>
        <v>0</v>
      </c>
      <c r="U329" s="23" t="s">
        <v>147</v>
      </c>
      <c r="V329" s="36" t="s">
        <v>102</v>
      </c>
      <c r="W329" s="37" t="s">
        <v>104</v>
      </c>
      <c r="X329" s="37" t="s">
        <v>98</v>
      </c>
      <c r="Y329" s="37" t="s">
        <v>320</v>
      </c>
      <c r="Z329" s="37" t="s">
        <v>154</v>
      </c>
      <c r="AA329" s="12" t="b">
        <f t="shared" si="143"/>
        <v>1</v>
      </c>
      <c r="AB329" s="12" t="b">
        <f t="shared" si="144"/>
        <v>1</v>
      </c>
      <c r="AC329" s="12" t="b">
        <f t="shared" si="145"/>
        <v>1</v>
      </c>
      <c r="AD329" s="12" t="b">
        <f t="shared" si="146"/>
        <v>1</v>
      </c>
      <c r="AE329" s="12" t="b">
        <f t="shared" si="147"/>
        <v>1</v>
      </c>
      <c r="AF329" s="12" t="b">
        <f t="shared" si="148"/>
        <v>1</v>
      </c>
    </row>
    <row r="330" spans="1:32" s="44" customFormat="1" ht="15.75" customHeight="1">
      <c r="A330" s="285"/>
      <c r="B330" s="23" t="s">
        <v>132</v>
      </c>
      <c r="C330" s="36" t="s">
        <v>102</v>
      </c>
      <c r="D330" s="37" t="s">
        <v>104</v>
      </c>
      <c r="E330" s="37" t="s">
        <v>98</v>
      </c>
      <c r="F330" s="37" t="s">
        <v>320</v>
      </c>
      <c r="G330" s="37" t="s">
        <v>171</v>
      </c>
      <c r="H330" s="183">
        <v>1122433.25</v>
      </c>
      <c r="I330" s="183">
        <v>1122433.25</v>
      </c>
      <c r="J330" s="183">
        <v>1122433.25</v>
      </c>
      <c r="K330" s="183">
        <v>1122433.25</v>
      </c>
      <c r="L330" s="183">
        <v>1122433.25</v>
      </c>
      <c r="M330" s="183">
        <v>1122433.25</v>
      </c>
      <c r="N330" s="43">
        <f t="shared" si="136"/>
        <v>0</v>
      </c>
      <c r="O330" s="183">
        <v>1122433.25</v>
      </c>
      <c r="P330" s="183">
        <v>1122433.25</v>
      </c>
      <c r="Q330" s="183">
        <v>1122433.25</v>
      </c>
      <c r="R330" s="472">
        <f t="shared" si="139"/>
        <v>0</v>
      </c>
      <c r="S330" s="472">
        <f t="shared" si="140"/>
        <v>0</v>
      </c>
      <c r="T330" s="472">
        <f t="shared" si="141"/>
        <v>0</v>
      </c>
      <c r="U330" s="23" t="s">
        <v>132</v>
      </c>
      <c r="V330" s="36" t="s">
        <v>102</v>
      </c>
      <c r="W330" s="37" t="s">
        <v>104</v>
      </c>
      <c r="X330" s="37" t="s">
        <v>98</v>
      </c>
      <c r="Y330" s="37" t="s">
        <v>320</v>
      </c>
      <c r="Z330" s="37" t="s">
        <v>171</v>
      </c>
      <c r="AA330" s="12" t="b">
        <f t="shared" si="143"/>
        <v>1</v>
      </c>
      <c r="AB330" s="12" t="b">
        <f t="shared" si="144"/>
        <v>1</v>
      </c>
      <c r="AC330" s="12" t="b">
        <f t="shared" si="145"/>
        <v>1</v>
      </c>
      <c r="AD330" s="12" t="b">
        <f t="shared" si="146"/>
        <v>1</v>
      </c>
      <c r="AE330" s="12" t="b">
        <f t="shared" si="147"/>
        <v>1</v>
      </c>
      <c r="AF330" s="12" t="b">
        <f t="shared" si="148"/>
        <v>1</v>
      </c>
    </row>
    <row r="331" spans="1:32" s="44" customFormat="1" ht="15.75" customHeight="1">
      <c r="A331" s="285"/>
      <c r="B331" s="23" t="s">
        <v>133</v>
      </c>
      <c r="C331" s="36" t="s">
        <v>102</v>
      </c>
      <c r="D331" s="37" t="s">
        <v>104</v>
      </c>
      <c r="E331" s="37" t="s">
        <v>98</v>
      </c>
      <c r="F331" s="37" t="s">
        <v>320</v>
      </c>
      <c r="G331" s="37" t="s">
        <v>19</v>
      </c>
      <c r="H331" s="183">
        <v>40666.58</v>
      </c>
      <c r="I331" s="183">
        <v>40666.58</v>
      </c>
      <c r="J331" s="183">
        <v>40666.58</v>
      </c>
      <c r="K331" s="183">
        <v>40666.58</v>
      </c>
      <c r="L331" s="183">
        <v>40666.58</v>
      </c>
      <c r="M331" s="183">
        <v>40666.58</v>
      </c>
      <c r="N331" s="43">
        <f t="shared" si="136"/>
        <v>0</v>
      </c>
      <c r="O331" s="183">
        <v>40666.58</v>
      </c>
      <c r="P331" s="183">
        <v>40666.58</v>
      </c>
      <c r="Q331" s="183">
        <v>40666.58</v>
      </c>
      <c r="R331" s="472">
        <f t="shared" si="139"/>
        <v>0</v>
      </c>
      <c r="S331" s="472">
        <f t="shared" si="140"/>
        <v>0</v>
      </c>
      <c r="T331" s="472">
        <f t="shared" si="141"/>
        <v>0</v>
      </c>
      <c r="U331" s="23" t="s">
        <v>133</v>
      </c>
      <c r="V331" s="36" t="s">
        <v>102</v>
      </c>
      <c r="W331" s="37" t="s">
        <v>104</v>
      </c>
      <c r="X331" s="37" t="s">
        <v>98</v>
      </c>
      <c r="Y331" s="37" t="s">
        <v>320</v>
      </c>
      <c r="Z331" s="37" t="s">
        <v>19</v>
      </c>
      <c r="AA331" s="12" t="b">
        <f t="shared" si="143"/>
        <v>1</v>
      </c>
      <c r="AB331" s="12" t="b">
        <f t="shared" si="144"/>
        <v>1</v>
      </c>
      <c r="AC331" s="12" t="b">
        <f t="shared" si="145"/>
        <v>1</v>
      </c>
      <c r="AD331" s="12" t="b">
        <f t="shared" si="146"/>
        <v>1</v>
      </c>
      <c r="AE331" s="12" t="b">
        <f t="shared" si="147"/>
        <v>1</v>
      </c>
      <c r="AF331" s="12" t="b">
        <f t="shared" si="148"/>
        <v>1</v>
      </c>
    </row>
    <row r="332" spans="1:32" s="44" customFormat="1" ht="15.75" customHeight="1">
      <c r="A332" s="285"/>
      <c r="B332" s="182" t="s">
        <v>983</v>
      </c>
      <c r="C332" s="36" t="s">
        <v>102</v>
      </c>
      <c r="D332" s="37" t="s">
        <v>104</v>
      </c>
      <c r="E332" s="37" t="s">
        <v>98</v>
      </c>
      <c r="F332" s="37" t="s">
        <v>320</v>
      </c>
      <c r="G332" s="37" t="s">
        <v>142</v>
      </c>
      <c r="H332" s="183">
        <v>1688.43</v>
      </c>
      <c r="I332" s="183">
        <v>1688.43</v>
      </c>
      <c r="J332" s="183">
        <v>1688.43</v>
      </c>
      <c r="K332" s="183">
        <v>1688.43</v>
      </c>
      <c r="L332" s="183">
        <v>1688.43</v>
      </c>
      <c r="M332" s="183">
        <v>1688.43</v>
      </c>
      <c r="N332" s="43">
        <f t="shared" si="136"/>
        <v>0</v>
      </c>
      <c r="O332" s="183">
        <v>1688.43</v>
      </c>
      <c r="P332" s="183">
        <v>1688.43</v>
      </c>
      <c r="Q332" s="183">
        <v>1688.43</v>
      </c>
      <c r="R332" s="472">
        <f t="shared" si="139"/>
        <v>0</v>
      </c>
      <c r="S332" s="472">
        <f t="shared" si="140"/>
        <v>0</v>
      </c>
      <c r="T332" s="472">
        <f t="shared" si="141"/>
        <v>0</v>
      </c>
      <c r="U332" s="182" t="s">
        <v>983</v>
      </c>
      <c r="V332" s="36" t="s">
        <v>102</v>
      </c>
      <c r="W332" s="37" t="s">
        <v>104</v>
      </c>
      <c r="X332" s="37" t="s">
        <v>98</v>
      </c>
      <c r="Y332" s="37" t="s">
        <v>320</v>
      </c>
      <c r="Z332" s="37" t="s">
        <v>142</v>
      </c>
      <c r="AA332" s="12" t="b">
        <f t="shared" si="143"/>
        <v>1</v>
      </c>
      <c r="AB332" s="12" t="b">
        <f t="shared" si="144"/>
        <v>1</v>
      </c>
      <c r="AC332" s="12" t="b">
        <f t="shared" si="145"/>
        <v>1</v>
      </c>
      <c r="AD332" s="12" t="b">
        <f t="shared" si="146"/>
        <v>1</v>
      </c>
      <c r="AE332" s="12" t="b">
        <f t="shared" si="147"/>
        <v>1</v>
      </c>
      <c r="AF332" s="12" t="b">
        <f t="shared" si="148"/>
        <v>1</v>
      </c>
    </row>
    <row r="333" spans="1:32" s="44" customFormat="1" ht="15.75" customHeight="1">
      <c r="A333" s="285"/>
      <c r="B333" s="68" t="s">
        <v>492</v>
      </c>
      <c r="C333" s="36" t="s">
        <v>102</v>
      </c>
      <c r="D333" s="37" t="s">
        <v>104</v>
      </c>
      <c r="E333" s="37" t="s">
        <v>98</v>
      </c>
      <c r="F333" s="37" t="s">
        <v>320</v>
      </c>
      <c r="G333" s="37" t="s">
        <v>139</v>
      </c>
      <c r="H333" s="183">
        <v>6263.55</v>
      </c>
      <c r="I333" s="183">
        <v>6263.55</v>
      </c>
      <c r="J333" s="183">
        <v>6263.55</v>
      </c>
      <c r="K333" s="183">
        <v>6263.55</v>
      </c>
      <c r="L333" s="183">
        <v>6263.55</v>
      </c>
      <c r="M333" s="183">
        <v>6263.55</v>
      </c>
      <c r="N333" s="43">
        <f t="shared" si="136"/>
        <v>0</v>
      </c>
      <c r="O333" s="183">
        <v>6263.55</v>
      </c>
      <c r="P333" s="183">
        <v>6263.55</v>
      </c>
      <c r="Q333" s="183">
        <v>6263.55</v>
      </c>
      <c r="R333" s="472">
        <f t="shared" si="139"/>
        <v>0</v>
      </c>
      <c r="S333" s="472">
        <f t="shared" si="140"/>
        <v>0</v>
      </c>
      <c r="T333" s="472">
        <f t="shared" si="141"/>
        <v>0</v>
      </c>
      <c r="U333" s="68" t="s">
        <v>492</v>
      </c>
      <c r="V333" s="36" t="s">
        <v>102</v>
      </c>
      <c r="W333" s="37" t="s">
        <v>104</v>
      </c>
      <c r="X333" s="37" t="s">
        <v>98</v>
      </c>
      <c r="Y333" s="37" t="s">
        <v>320</v>
      </c>
      <c r="Z333" s="37" t="s">
        <v>139</v>
      </c>
      <c r="AA333" s="12" t="b">
        <f t="shared" si="143"/>
        <v>1</v>
      </c>
      <c r="AB333" s="12" t="b">
        <f t="shared" si="144"/>
        <v>1</v>
      </c>
      <c r="AC333" s="12" t="b">
        <f t="shared" si="145"/>
        <v>1</v>
      </c>
      <c r="AD333" s="12" t="b">
        <f t="shared" si="146"/>
        <v>1</v>
      </c>
      <c r="AE333" s="12" t="b">
        <f t="shared" si="147"/>
        <v>1</v>
      </c>
      <c r="AF333" s="12" t="b">
        <f t="shared" si="148"/>
        <v>1</v>
      </c>
    </row>
    <row r="334" spans="1:32" s="44" customFormat="1" ht="17.25" customHeight="1">
      <c r="A334" s="285"/>
      <c r="B334" s="182" t="s">
        <v>541</v>
      </c>
      <c r="C334" s="36" t="s">
        <v>102</v>
      </c>
      <c r="D334" s="37" t="s">
        <v>104</v>
      </c>
      <c r="E334" s="37" t="s">
        <v>98</v>
      </c>
      <c r="F334" s="37" t="s">
        <v>321</v>
      </c>
      <c r="G334" s="37" t="s">
        <v>90</v>
      </c>
      <c r="H334" s="183">
        <f>H335</f>
        <v>8402.92</v>
      </c>
      <c r="I334" s="183">
        <f t="shared" ref="I334:J335" si="149">I335</f>
        <v>8402.92</v>
      </c>
      <c r="J334" s="183">
        <f t="shared" si="149"/>
        <v>0</v>
      </c>
      <c r="K334" s="183">
        <v>8402.92</v>
      </c>
      <c r="L334" s="183">
        <v>8402.92</v>
      </c>
      <c r="M334" s="183">
        <v>0</v>
      </c>
      <c r="N334" s="43">
        <f t="shared" si="136"/>
        <v>0</v>
      </c>
      <c r="O334" s="183">
        <v>8402.92</v>
      </c>
      <c r="P334" s="183">
        <v>8402.92</v>
      </c>
      <c r="Q334" s="183">
        <v>8402.92</v>
      </c>
      <c r="R334" s="472">
        <f t="shared" si="139"/>
        <v>0</v>
      </c>
      <c r="S334" s="472">
        <f t="shared" si="140"/>
        <v>0</v>
      </c>
      <c r="T334" s="472">
        <f t="shared" si="141"/>
        <v>-8402.92</v>
      </c>
      <c r="U334" s="182" t="s">
        <v>541</v>
      </c>
      <c r="V334" s="36" t="s">
        <v>102</v>
      </c>
      <c r="W334" s="37" t="s">
        <v>104</v>
      </c>
      <c r="X334" s="37" t="s">
        <v>98</v>
      </c>
      <c r="Y334" s="37" t="s">
        <v>321</v>
      </c>
      <c r="Z334" s="37" t="s">
        <v>90</v>
      </c>
      <c r="AA334" s="12" t="b">
        <f t="shared" si="143"/>
        <v>1</v>
      </c>
      <c r="AB334" s="12" t="b">
        <f t="shared" si="144"/>
        <v>1</v>
      </c>
      <c r="AC334" s="12" t="b">
        <f t="shared" si="145"/>
        <v>1</v>
      </c>
      <c r="AD334" s="12" t="b">
        <f t="shared" si="146"/>
        <v>1</v>
      </c>
      <c r="AE334" s="12" t="b">
        <f t="shared" si="147"/>
        <v>1</v>
      </c>
      <c r="AF334" s="12" t="b">
        <f t="shared" si="148"/>
        <v>1</v>
      </c>
    </row>
    <row r="335" spans="1:32" s="44" customFormat="1" ht="16.5" customHeight="1">
      <c r="A335" s="285"/>
      <c r="B335" s="23" t="s">
        <v>254</v>
      </c>
      <c r="C335" s="36" t="s">
        <v>102</v>
      </c>
      <c r="D335" s="37" t="s">
        <v>104</v>
      </c>
      <c r="E335" s="37" t="s">
        <v>98</v>
      </c>
      <c r="F335" s="37" t="s">
        <v>322</v>
      </c>
      <c r="G335" s="37" t="s">
        <v>90</v>
      </c>
      <c r="H335" s="183">
        <f>H336</f>
        <v>8402.92</v>
      </c>
      <c r="I335" s="183">
        <f t="shared" si="149"/>
        <v>8402.92</v>
      </c>
      <c r="J335" s="183">
        <f t="shared" si="149"/>
        <v>0</v>
      </c>
      <c r="K335" s="183">
        <v>8402.92</v>
      </c>
      <c r="L335" s="183">
        <v>8402.92</v>
      </c>
      <c r="M335" s="183">
        <v>0</v>
      </c>
      <c r="N335" s="43">
        <f t="shared" si="136"/>
        <v>0</v>
      </c>
      <c r="O335" s="183">
        <v>8402.92</v>
      </c>
      <c r="P335" s="183">
        <v>8402.92</v>
      </c>
      <c r="Q335" s="183">
        <v>8402.92</v>
      </c>
      <c r="R335" s="472">
        <f t="shared" si="139"/>
        <v>0</v>
      </c>
      <c r="S335" s="472">
        <f t="shared" si="140"/>
        <v>0</v>
      </c>
      <c r="T335" s="472">
        <f t="shared" si="141"/>
        <v>-8402.92</v>
      </c>
      <c r="U335" s="23" t="s">
        <v>254</v>
      </c>
      <c r="V335" s="36" t="s">
        <v>102</v>
      </c>
      <c r="W335" s="37" t="s">
        <v>104</v>
      </c>
      <c r="X335" s="37" t="s">
        <v>98</v>
      </c>
      <c r="Y335" s="37" t="s">
        <v>322</v>
      </c>
      <c r="Z335" s="37" t="s">
        <v>90</v>
      </c>
      <c r="AA335" s="12" t="b">
        <f t="shared" si="143"/>
        <v>1</v>
      </c>
      <c r="AB335" s="12" t="b">
        <f t="shared" si="144"/>
        <v>1</v>
      </c>
      <c r="AC335" s="12" t="b">
        <f t="shared" si="145"/>
        <v>1</v>
      </c>
      <c r="AD335" s="12" t="b">
        <f t="shared" si="146"/>
        <v>1</v>
      </c>
      <c r="AE335" s="12" t="b">
        <f t="shared" si="147"/>
        <v>1</v>
      </c>
      <c r="AF335" s="12" t="b">
        <f t="shared" si="148"/>
        <v>1</v>
      </c>
    </row>
    <row r="336" spans="1:32" s="44" customFormat="1" ht="18.75" customHeight="1">
      <c r="A336" s="285"/>
      <c r="B336" s="65" t="s">
        <v>132</v>
      </c>
      <c r="C336" s="56" t="s">
        <v>102</v>
      </c>
      <c r="D336" s="57" t="s">
        <v>104</v>
      </c>
      <c r="E336" s="57" t="s">
        <v>98</v>
      </c>
      <c r="F336" s="57" t="s">
        <v>322</v>
      </c>
      <c r="G336" s="57" t="s">
        <v>171</v>
      </c>
      <c r="H336" s="58">
        <v>8402.92</v>
      </c>
      <c r="I336" s="58">
        <v>8402.92</v>
      </c>
      <c r="J336" s="58">
        <f>8402.92-8402.92</f>
        <v>0</v>
      </c>
      <c r="K336" s="58">
        <v>8402.92</v>
      </c>
      <c r="L336" s="58">
        <v>8402.92</v>
      </c>
      <c r="M336" s="58">
        <v>0</v>
      </c>
      <c r="N336" s="43">
        <f t="shared" si="136"/>
        <v>0</v>
      </c>
      <c r="O336" s="58">
        <v>8402.92</v>
      </c>
      <c r="P336" s="58">
        <v>8402.92</v>
      </c>
      <c r="Q336" s="58">
        <v>8402.92</v>
      </c>
      <c r="R336" s="472">
        <f t="shared" si="139"/>
        <v>0</v>
      </c>
      <c r="S336" s="472">
        <f t="shared" si="140"/>
        <v>0</v>
      </c>
      <c r="T336" s="472">
        <f t="shared" si="141"/>
        <v>-8402.92</v>
      </c>
      <c r="U336" s="65" t="s">
        <v>132</v>
      </c>
      <c r="V336" s="56" t="s">
        <v>102</v>
      </c>
      <c r="W336" s="57" t="s">
        <v>104</v>
      </c>
      <c r="X336" s="57" t="s">
        <v>98</v>
      </c>
      <c r="Y336" s="57" t="s">
        <v>322</v>
      </c>
      <c r="Z336" s="57" t="s">
        <v>171</v>
      </c>
      <c r="AA336" s="12" t="b">
        <f t="shared" si="143"/>
        <v>1</v>
      </c>
      <c r="AB336" s="12" t="b">
        <f t="shared" si="144"/>
        <v>1</v>
      </c>
      <c r="AC336" s="12" t="b">
        <f t="shared" si="145"/>
        <v>1</v>
      </c>
      <c r="AD336" s="12" t="b">
        <f t="shared" si="146"/>
        <v>1</v>
      </c>
      <c r="AE336" s="12" t="b">
        <f t="shared" si="147"/>
        <v>1</v>
      </c>
      <c r="AF336" s="12" t="b">
        <f t="shared" si="148"/>
        <v>1</v>
      </c>
    </row>
    <row r="337" spans="1:32" s="44" customFormat="1" ht="16.5" customHeight="1">
      <c r="A337" s="285"/>
      <c r="B337" s="182" t="s">
        <v>667</v>
      </c>
      <c r="C337" s="36" t="s">
        <v>102</v>
      </c>
      <c r="D337" s="37" t="s">
        <v>104</v>
      </c>
      <c r="E337" s="37" t="s">
        <v>98</v>
      </c>
      <c r="F337" s="37" t="s">
        <v>255</v>
      </c>
      <c r="G337" s="37" t="s">
        <v>90</v>
      </c>
      <c r="H337" s="183">
        <f t="shared" ref="H337:J339" si="150">H338</f>
        <v>60485.86</v>
      </c>
      <c r="I337" s="183">
        <f t="shared" si="150"/>
        <v>61196.020000000004</v>
      </c>
      <c r="J337" s="183">
        <f t="shared" si="150"/>
        <v>61196.020000000004</v>
      </c>
      <c r="K337" s="183">
        <v>60485.86</v>
      </c>
      <c r="L337" s="183">
        <v>61196.020000000004</v>
      </c>
      <c r="M337" s="183">
        <v>61196.020000000004</v>
      </c>
      <c r="N337" s="43">
        <f t="shared" si="136"/>
        <v>0</v>
      </c>
      <c r="O337" s="183">
        <v>60485.86</v>
      </c>
      <c r="P337" s="183">
        <v>61196.020000000004</v>
      </c>
      <c r="Q337" s="183">
        <v>61196.020000000004</v>
      </c>
      <c r="R337" s="472">
        <f t="shared" si="139"/>
        <v>0</v>
      </c>
      <c r="S337" s="472">
        <f t="shared" si="140"/>
        <v>0</v>
      </c>
      <c r="T337" s="472">
        <f t="shared" si="141"/>
        <v>0</v>
      </c>
      <c r="U337" s="182" t="s">
        <v>667</v>
      </c>
      <c r="V337" s="36" t="s">
        <v>102</v>
      </c>
      <c r="W337" s="37" t="s">
        <v>104</v>
      </c>
      <c r="X337" s="37" t="s">
        <v>98</v>
      </c>
      <c r="Y337" s="37" t="s">
        <v>255</v>
      </c>
      <c r="Z337" s="37" t="s">
        <v>90</v>
      </c>
      <c r="AA337" s="12" t="b">
        <f t="shared" si="143"/>
        <v>1</v>
      </c>
      <c r="AB337" s="12" t="b">
        <f t="shared" si="144"/>
        <v>1</v>
      </c>
      <c r="AC337" s="12" t="b">
        <f t="shared" si="145"/>
        <v>1</v>
      </c>
      <c r="AD337" s="12" t="b">
        <f t="shared" si="146"/>
        <v>1</v>
      </c>
      <c r="AE337" s="12" t="b">
        <f t="shared" si="147"/>
        <v>1</v>
      </c>
      <c r="AF337" s="12" t="b">
        <f t="shared" si="148"/>
        <v>1</v>
      </c>
    </row>
    <row r="338" spans="1:32" s="44" customFormat="1" ht="15" customHeight="1">
      <c r="A338" s="285"/>
      <c r="B338" s="182" t="s">
        <v>814</v>
      </c>
      <c r="C338" s="36" t="s">
        <v>102</v>
      </c>
      <c r="D338" s="37" t="s">
        <v>104</v>
      </c>
      <c r="E338" s="37" t="s">
        <v>98</v>
      </c>
      <c r="F338" s="37" t="s">
        <v>256</v>
      </c>
      <c r="G338" s="37" t="s">
        <v>90</v>
      </c>
      <c r="H338" s="183">
        <f t="shared" si="150"/>
        <v>60485.86</v>
      </c>
      <c r="I338" s="183">
        <f t="shared" si="150"/>
        <v>61196.020000000004</v>
      </c>
      <c r="J338" s="183">
        <f t="shared" si="150"/>
        <v>61196.020000000004</v>
      </c>
      <c r="K338" s="183">
        <v>60485.86</v>
      </c>
      <c r="L338" s="183">
        <v>61196.020000000004</v>
      </c>
      <c r="M338" s="183">
        <v>61196.020000000004</v>
      </c>
      <c r="N338" s="43">
        <f t="shared" si="136"/>
        <v>0</v>
      </c>
      <c r="O338" s="183">
        <v>60485.86</v>
      </c>
      <c r="P338" s="183">
        <v>61196.020000000004</v>
      </c>
      <c r="Q338" s="183">
        <v>61196.020000000004</v>
      </c>
      <c r="R338" s="472">
        <f t="shared" si="139"/>
        <v>0</v>
      </c>
      <c r="S338" s="472">
        <f t="shared" si="140"/>
        <v>0</v>
      </c>
      <c r="T338" s="472">
        <f t="shared" si="141"/>
        <v>0</v>
      </c>
      <c r="U338" s="182" t="s">
        <v>814</v>
      </c>
      <c r="V338" s="36" t="s">
        <v>102</v>
      </c>
      <c r="W338" s="37" t="s">
        <v>104</v>
      </c>
      <c r="X338" s="37" t="s">
        <v>98</v>
      </c>
      <c r="Y338" s="37" t="s">
        <v>256</v>
      </c>
      <c r="Z338" s="37" t="s">
        <v>90</v>
      </c>
      <c r="AA338" s="12" t="b">
        <f t="shared" si="143"/>
        <v>1</v>
      </c>
      <c r="AB338" s="12" t="b">
        <f t="shared" si="144"/>
        <v>1</v>
      </c>
      <c r="AC338" s="12" t="b">
        <f t="shared" si="145"/>
        <v>1</v>
      </c>
      <c r="AD338" s="12" t="b">
        <f t="shared" si="146"/>
        <v>1</v>
      </c>
      <c r="AE338" s="12" t="b">
        <f t="shared" si="147"/>
        <v>1</v>
      </c>
      <c r="AF338" s="12" t="b">
        <f t="shared" si="148"/>
        <v>1</v>
      </c>
    </row>
    <row r="339" spans="1:32" s="44" customFormat="1" ht="18" customHeight="1">
      <c r="A339" s="285"/>
      <c r="B339" s="182" t="s">
        <v>1023</v>
      </c>
      <c r="C339" s="36" t="s">
        <v>102</v>
      </c>
      <c r="D339" s="37" t="s">
        <v>104</v>
      </c>
      <c r="E339" s="37" t="s">
        <v>98</v>
      </c>
      <c r="F339" s="37" t="s">
        <v>1022</v>
      </c>
      <c r="G339" s="37" t="s">
        <v>90</v>
      </c>
      <c r="H339" s="183">
        <f t="shared" si="150"/>
        <v>60485.86</v>
      </c>
      <c r="I339" s="183">
        <f t="shared" si="150"/>
        <v>61196.020000000004</v>
      </c>
      <c r="J339" s="183">
        <f t="shared" si="150"/>
        <v>61196.020000000004</v>
      </c>
      <c r="K339" s="183">
        <v>60485.86</v>
      </c>
      <c r="L339" s="183">
        <v>61196.020000000004</v>
      </c>
      <c r="M339" s="183">
        <v>61196.020000000004</v>
      </c>
      <c r="N339" s="43">
        <f t="shared" si="136"/>
        <v>0</v>
      </c>
      <c r="O339" s="183">
        <v>60485.86</v>
      </c>
      <c r="P339" s="183">
        <v>61196.020000000004</v>
      </c>
      <c r="Q339" s="183">
        <v>61196.020000000004</v>
      </c>
      <c r="R339" s="472">
        <f t="shared" si="139"/>
        <v>0</v>
      </c>
      <c r="S339" s="472">
        <f t="shared" si="140"/>
        <v>0</v>
      </c>
      <c r="T339" s="472">
        <f t="shared" si="141"/>
        <v>0</v>
      </c>
      <c r="U339" s="182" t="s">
        <v>1023</v>
      </c>
      <c r="V339" s="36" t="s">
        <v>102</v>
      </c>
      <c r="W339" s="37" t="s">
        <v>104</v>
      </c>
      <c r="X339" s="37" t="s">
        <v>98</v>
      </c>
      <c r="Y339" s="37" t="s">
        <v>1022</v>
      </c>
      <c r="Z339" s="37" t="s">
        <v>90</v>
      </c>
      <c r="AA339" s="12" t="b">
        <f t="shared" si="143"/>
        <v>1</v>
      </c>
      <c r="AB339" s="12" t="b">
        <f t="shared" si="144"/>
        <v>1</v>
      </c>
      <c r="AC339" s="12" t="b">
        <f t="shared" si="145"/>
        <v>1</v>
      </c>
      <c r="AD339" s="12" t="b">
        <f t="shared" si="146"/>
        <v>1</v>
      </c>
      <c r="AE339" s="12" t="b">
        <f t="shared" si="147"/>
        <v>1</v>
      </c>
      <c r="AF339" s="12" t="b">
        <f t="shared" si="148"/>
        <v>1</v>
      </c>
    </row>
    <row r="340" spans="1:32" s="44" customFormat="1" ht="17.25" customHeight="1">
      <c r="A340" s="285"/>
      <c r="B340" s="23" t="s">
        <v>1028</v>
      </c>
      <c r="C340" s="36" t="s">
        <v>102</v>
      </c>
      <c r="D340" s="37" t="s">
        <v>104</v>
      </c>
      <c r="E340" s="37" t="s">
        <v>98</v>
      </c>
      <c r="F340" s="37" t="s">
        <v>1027</v>
      </c>
      <c r="G340" s="37" t="s">
        <v>90</v>
      </c>
      <c r="H340" s="183">
        <f>H341+H342</f>
        <v>60485.86</v>
      </c>
      <c r="I340" s="183">
        <f>I341+I342</f>
        <v>61196.020000000004</v>
      </c>
      <c r="J340" s="183">
        <f>J341+J342</f>
        <v>61196.020000000004</v>
      </c>
      <c r="K340" s="183">
        <v>60485.86</v>
      </c>
      <c r="L340" s="183">
        <v>61196.020000000004</v>
      </c>
      <c r="M340" s="183">
        <v>61196.020000000004</v>
      </c>
      <c r="N340" s="43">
        <f t="shared" si="136"/>
        <v>0</v>
      </c>
      <c r="O340" s="183">
        <v>60485.86</v>
      </c>
      <c r="P340" s="183">
        <v>61196.020000000004</v>
      </c>
      <c r="Q340" s="183">
        <v>61196.020000000004</v>
      </c>
      <c r="R340" s="472">
        <f t="shared" si="139"/>
        <v>0</v>
      </c>
      <c r="S340" s="472">
        <f t="shared" si="140"/>
        <v>0</v>
      </c>
      <c r="T340" s="472">
        <f t="shared" si="141"/>
        <v>0</v>
      </c>
      <c r="U340" s="23" t="s">
        <v>1028</v>
      </c>
      <c r="V340" s="36" t="s">
        <v>102</v>
      </c>
      <c r="W340" s="37" t="s">
        <v>104</v>
      </c>
      <c r="X340" s="37" t="s">
        <v>98</v>
      </c>
      <c r="Y340" s="37" t="s">
        <v>1027</v>
      </c>
      <c r="Z340" s="37" t="s">
        <v>90</v>
      </c>
      <c r="AA340" s="12" t="b">
        <f t="shared" si="143"/>
        <v>1</v>
      </c>
      <c r="AB340" s="12" t="b">
        <f t="shared" si="144"/>
        <v>1</v>
      </c>
      <c r="AC340" s="12" t="b">
        <f t="shared" si="145"/>
        <v>1</v>
      </c>
      <c r="AD340" s="12" t="b">
        <f t="shared" si="146"/>
        <v>1</v>
      </c>
      <c r="AE340" s="12" t="b">
        <f t="shared" si="147"/>
        <v>1</v>
      </c>
      <c r="AF340" s="12" t="b">
        <f t="shared" si="148"/>
        <v>1</v>
      </c>
    </row>
    <row r="341" spans="1:32" s="44" customFormat="1" ht="13.5" customHeight="1">
      <c r="A341" s="285"/>
      <c r="B341" s="23" t="s">
        <v>132</v>
      </c>
      <c r="C341" s="36" t="s">
        <v>102</v>
      </c>
      <c r="D341" s="37" t="s">
        <v>104</v>
      </c>
      <c r="E341" s="37" t="s">
        <v>98</v>
      </c>
      <c r="F341" s="37" t="s">
        <v>1027</v>
      </c>
      <c r="G341" s="37" t="s">
        <v>171</v>
      </c>
      <c r="H341" s="183">
        <v>58978.32</v>
      </c>
      <c r="I341" s="183">
        <v>59688.480000000003</v>
      </c>
      <c r="J341" s="183">
        <v>59688.480000000003</v>
      </c>
      <c r="K341" s="183">
        <v>58978.32</v>
      </c>
      <c r="L341" s="183">
        <v>59688.480000000003</v>
      </c>
      <c r="M341" s="183">
        <v>59688.480000000003</v>
      </c>
      <c r="N341" s="43">
        <f t="shared" si="136"/>
        <v>0</v>
      </c>
      <c r="O341" s="183">
        <v>58978.32</v>
      </c>
      <c r="P341" s="183">
        <v>59688.480000000003</v>
      </c>
      <c r="Q341" s="183">
        <v>59688.480000000003</v>
      </c>
      <c r="R341" s="472">
        <f t="shared" si="139"/>
        <v>0</v>
      </c>
      <c r="S341" s="472">
        <f t="shared" si="140"/>
        <v>0</v>
      </c>
      <c r="T341" s="472">
        <f t="shared" si="141"/>
        <v>0</v>
      </c>
      <c r="U341" s="23" t="s">
        <v>132</v>
      </c>
      <c r="V341" s="36" t="s">
        <v>102</v>
      </c>
      <c r="W341" s="37" t="s">
        <v>104</v>
      </c>
      <c r="X341" s="37" t="s">
        <v>98</v>
      </c>
      <c r="Y341" s="37" t="s">
        <v>1027</v>
      </c>
      <c r="Z341" s="37" t="s">
        <v>171</v>
      </c>
      <c r="AA341" s="12" t="b">
        <f t="shared" si="143"/>
        <v>1</v>
      </c>
      <c r="AB341" s="12" t="b">
        <f t="shared" si="144"/>
        <v>1</v>
      </c>
      <c r="AC341" s="12" t="b">
        <f t="shared" si="145"/>
        <v>1</v>
      </c>
      <c r="AD341" s="12" t="b">
        <f t="shared" si="146"/>
        <v>1</v>
      </c>
      <c r="AE341" s="12" t="b">
        <f t="shared" si="147"/>
        <v>1</v>
      </c>
      <c r="AF341" s="12" t="b">
        <f t="shared" si="148"/>
        <v>1</v>
      </c>
    </row>
    <row r="342" spans="1:32" s="44" customFormat="1" ht="15" customHeight="1">
      <c r="A342" s="285"/>
      <c r="B342" s="23" t="s">
        <v>133</v>
      </c>
      <c r="C342" s="36" t="s">
        <v>102</v>
      </c>
      <c r="D342" s="37" t="s">
        <v>104</v>
      </c>
      <c r="E342" s="37" t="s">
        <v>98</v>
      </c>
      <c r="F342" s="37" t="s">
        <v>1027</v>
      </c>
      <c r="G342" s="37" t="s">
        <v>19</v>
      </c>
      <c r="H342" s="183">
        <v>1507.54</v>
      </c>
      <c r="I342" s="183">
        <v>1507.54</v>
      </c>
      <c r="J342" s="183">
        <v>1507.54</v>
      </c>
      <c r="K342" s="183">
        <v>1507.54</v>
      </c>
      <c r="L342" s="183">
        <v>1507.54</v>
      </c>
      <c r="M342" s="183">
        <v>1507.54</v>
      </c>
      <c r="N342" s="43">
        <f t="shared" si="136"/>
        <v>0</v>
      </c>
      <c r="O342" s="183">
        <v>1507.54</v>
      </c>
      <c r="P342" s="183">
        <v>1507.54</v>
      </c>
      <c r="Q342" s="183">
        <v>1507.54</v>
      </c>
      <c r="R342" s="472">
        <f t="shared" si="139"/>
        <v>0</v>
      </c>
      <c r="S342" s="472">
        <f t="shared" si="140"/>
        <v>0</v>
      </c>
      <c r="T342" s="472">
        <f t="shared" si="141"/>
        <v>0</v>
      </c>
      <c r="U342" s="23" t="s">
        <v>133</v>
      </c>
      <c r="V342" s="36" t="s">
        <v>102</v>
      </c>
      <c r="W342" s="37" t="s">
        <v>104</v>
      </c>
      <c r="X342" s="37" t="s">
        <v>98</v>
      </c>
      <c r="Y342" s="37" t="s">
        <v>1027</v>
      </c>
      <c r="Z342" s="37" t="s">
        <v>19</v>
      </c>
      <c r="AA342" s="12" t="b">
        <f t="shared" si="143"/>
        <v>1</v>
      </c>
      <c r="AB342" s="12" t="b">
        <f t="shared" si="144"/>
        <v>1</v>
      </c>
      <c r="AC342" s="12" t="b">
        <f t="shared" si="145"/>
        <v>1</v>
      </c>
      <c r="AD342" s="12" t="b">
        <f t="shared" si="146"/>
        <v>1</v>
      </c>
      <c r="AE342" s="12" t="b">
        <f t="shared" si="147"/>
        <v>1</v>
      </c>
      <c r="AF342" s="12" t="b">
        <f t="shared" si="148"/>
        <v>1</v>
      </c>
    </row>
    <row r="343" spans="1:32" s="44" customFormat="1" ht="15.75" customHeight="1">
      <c r="A343" s="285"/>
      <c r="B343" s="182" t="s">
        <v>1165</v>
      </c>
      <c r="C343" s="36" t="s">
        <v>102</v>
      </c>
      <c r="D343" s="37" t="s">
        <v>104</v>
      </c>
      <c r="E343" s="37" t="s">
        <v>98</v>
      </c>
      <c r="F343" s="37" t="s">
        <v>323</v>
      </c>
      <c r="G343" s="37" t="s">
        <v>90</v>
      </c>
      <c r="H343" s="183">
        <f t="shared" ref="H343:J345" si="151">H344</f>
        <v>37891.61</v>
      </c>
      <c r="I343" s="183">
        <f t="shared" si="151"/>
        <v>4988.3999999999996</v>
      </c>
      <c r="J343" s="183">
        <f t="shared" si="151"/>
        <v>4988.3999999999996</v>
      </c>
      <c r="K343" s="183">
        <v>37891.61</v>
      </c>
      <c r="L343" s="183">
        <v>4988.3999999999996</v>
      </c>
      <c r="M343" s="183">
        <v>4988.3999999999996</v>
      </c>
      <c r="N343" s="43">
        <f t="shared" si="136"/>
        <v>0</v>
      </c>
      <c r="O343" s="183">
        <v>37891.61</v>
      </c>
      <c r="P343" s="183">
        <v>4988.3999999999996</v>
      </c>
      <c r="Q343" s="183">
        <v>4988.3999999999996</v>
      </c>
      <c r="R343" s="472">
        <f t="shared" si="139"/>
        <v>0</v>
      </c>
      <c r="S343" s="472">
        <f t="shared" si="140"/>
        <v>0</v>
      </c>
      <c r="T343" s="472">
        <f t="shared" si="141"/>
        <v>0</v>
      </c>
      <c r="U343" s="182" t="s">
        <v>1165</v>
      </c>
      <c r="V343" s="36" t="s">
        <v>102</v>
      </c>
      <c r="W343" s="37" t="s">
        <v>104</v>
      </c>
      <c r="X343" s="37" t="s">
        <v>98</v>
      </c>
      <c r="Y343" s="37" t="s">
        <v>323</v>
      </c>
      <c r="Z343" s="37" t="s">
        <v>90</v>
      </c>
      <c r="AA343" s="12" t="b">
        <f t="shared" si="143"/>
        <v>1</v>
      </c>
      <c r="AB343" s="12" t="b">
        <f t="shared" si="144"/>
        <v>1</v>
      </c>
      <c r="AC343" s="12" t="b">
        <f t="shared" si="145"/>
        <v>1</v>
      </c>
      <c r="AD343" s="12" t="b">
        <f t="shared" si="146"/>
        <v>1</v>
      </c>
      <c r="AE343" s="12" t="b">
        <f t="shared" si="147"/>
        <v>1</v>
      </c>
      <c r="AF343" s="12" t="b">
        <f t="shared" si="148"/>
        <v>1</v>
      </c>
    </row>
    <row r="344" spans="1:32" s="44" customFormat="1" ht="15.75" customHeight="1">
      <c r="A344" s="285"/>
      <c r="B344" s="182" t="s">
        <v>1214</v>
      </c>
      <c r="C344" s="36" t="s">
        <v>102</v>
      </c>
      <c r="D344" s="37" t="s">
        <v>104</v>
      </c>
      <c r="E344" s="37" t="s">
        <v>98</v>
      </c>
      <c r="F344" s="37" t="s">
        <v>324</v>
      </c>
      <c r="G344" s="37" t="s">
        <v>90</v>
      </c>
      <c r="H344" s="183">
        <f t="shared" si="151"/>
        <v>37891.61</v>
      </c>
      <c r="I344" s="183">
        <f t="shared" si="151"/>
        <v>4988.3999999999996</v>
      </c>
      <c r="J344" s="183">
        <f t="shared" si="151"/>
        <v>4988.3999999999996</v>
      </c>
      <c r="K344" s="183">
        <v>37891.61</v>
      </c>
      <c r="L344" s="183">
        <v>4988.3999999999996</v>
      </c>
      <c r="M344" s="183">
        <v>4988.3999999999996</v>
      </c>
      <c r="N344" s="43">
        <f t="shared" si="136"/>
        <v>0</v>
      </c>
      <c r="O344" s="183">
        <v>37891.61</v>
      </c>
      <c r="P344" s="183">
        <v>4988.3999999999996</v>
      </c>
      <c r="Q344" s="183">
        <v>4988.3999999999996</v>
      </c>
      <c r="R344" s="472">
        <f t="shared" si="139"/>
        <v>0</v>
      </c>
      <c r="S344" s="472">
        <f t="shared" si="140"/>
        <v>0</v>
      </c>
      <c r="T344" s="472">
        <f t="shared" si="141"/>
        <v>0</v>
      </c>
      <c r="U344" s="495" t="s">
        <v>1214</v>
      </c>
      <c r="V344" s="36" t="s">
        <v>102</v>
      </c>
      <c r="W344" s="37" t="s">
        <v>104</v>
      </c>
      <c r="X344" s="37" t="s">
        <v>98</v>
      </c>
      <c r="Y344" s="37" t="s">
        <v>324</v>
      </c>
      <c r="Z344" s="37" t="s">
        <v>90</v>
      </c>
      <c r="AA344" s="12" t="b">
        <f t="shared" si="143"/>
        <v>1</v>
      </c>
      <c r="AB344" s="12" t="b">
        <f t="shared" si="144"/>
        <v>1</v>
      </c>
      <c r="AC344" s="12" t="b">
        <f t="shared" si="145"/>
        <v>1</v>
      </c>
      <c r="AD344" s="12" t="b">
        <f t="shared" si="146"/>
        <v>1</v>
      </c>
      <c r="AE344" s="12" t="b">
        <f t="shared" si="147"/>
        <v>1</v>
      </c>
      <c r="AF344" s="12" t="b">
        <f t="shared" si="148"/>
        <v>1</v>
      </c>
    </row>
    <row r="345" spans="1:32" s="44" customFormat="1" ht="17.25" customHeight="1">
      <c r="A345" s="285"/>
      <c r="B345" s="182" t="s">
        <v>573</v>
      </c>
      <c r="C345" s="36" t="s">
        <v>102</v>
      </c>
      <c r="D345" s="37" t="s">
        <v>104</v>
      </c>
      <c r="E345" s="37" t="s">
        <v>98</v>
      </c>
      <c r="F345" s="37" t="s">
        <v>526</v>
      </c>
      <c r="G345" s="37" t="s">
        <v>90</v>
      </c>
      <c r="H345" s="183">
        <f t="shared" si="151"/>
        <v>37891.61</v>
      </c>
      <c r="I345" s="183">
        <f t="shared" si="151"/>
        <v>4988.3999999999996</v>
      </c>
      <c r="J345" s="183">
        <f t="shared" si="151"/>
        <v>4988.3999999999996</v>
      </c>
      <c r="K345" s="183">
        <v>37891.61</v>
      </c>
      <c r="L345" s="183">
        <v>4988.3999999999996</v>
      </c>
      <c r="M345" s="183">
        <v>4988.3999999999996</v>
      </c>
      <c r="N345" s="43">
        <f t="shared" si="136"/>
        <v>0</v>
      </c>
      <c r="O345" s="183">
        <v>37891.61</v>
      </c>
      <c r="P345" s="183">
        <v>4988.3999999999996</v>
      </c>
      <c r="Q345" s="183">
        <v>4988.3999999999996</v>
      </c>
      <c r="R345" s="472">
        <f t="shared" si="139"/>
        <v>0</v>
      </c>
      <c r="S345" s="472">
        <f t="shared" si="140"/>
        <v>0</v>
      </c>
      <c r="T345" s="472">
        <f t="shared" si="141"/>
        <v>0</v>
      </c>
      <c r="U345" s="182" t="s">
        <v>573</v>
      </c>
      <c r="V345" s="36" t="s">
        <v>102</v>
      </c>
      <c r="W345" s="37" t="s">
        <v>104</v>
      </c>
      <c r="X345" s="37" t="s">
        <v>98</v>
      </c>
      <c r="Y345" s="37" t="s">
        <v>526</v>
      </c>
      <c r="Z345" s="37" t="s">
        <v>90</v>
      </c>
      <c r="AA345" s="12" t="b">
        <f t="shared" si="143"/>
        <v>1</v>
      </c>
      <c r="AB345" s="12" t="b">
        <f t="shared" si="144"/>
        <v>1</v>
      </c>
      <c r="AC345" s="12" t="b">
        <f t="shared" si="145"/>
        <v>1</v>
      </c>
      <c r="AD345" s="12" t="b">
        <f t="shared" si="146"/>
        <v>1</v>
      </c>
      <c r="AE345" s="12" t="b">
        <f t="shared" si="147"/>
        <v>1</v>
      </c>
      <c r="AF345" s="12" t="b">
        <f t="shared" si="148"/>
        <v>1</v>
      </c>
    </row>
    <row r="346" spans="1:32" s="44" customFormat="1" ht="16.5" customHeight="1">
      <c r="A346" s="285"/>
      <c r="B346" s="182" t="s">
        <v>202</v>
      </c>
      <c r="C346" s="36" t="s">
        <v>102</v>
      </c>
      <c r="D346" s="37" t="s">
        <v>104</v>
      </c>
      <c r="E346" s="37" t="s">
        <v>98</v>
      </c>
      <c r="F346" s="37" t="s">
        <v>527</v>
      </c>
      <c r="G346" s="37" t="s">
        <v>90</v>
      </c>
      <c r="H346" s="183">
        <f>H347+H348</f>
        <v>37891.61</v>
      </c>
      <c r="I346" s="183">
        <f>I347+I348</f>
        <v>4988.3999999999996</v>
      </c>
      <c r="J346" s="183">
        <f>J347+J348</f>
        <v>4988.3999999999996</v>
      </c>
      <c r="K346" s="183">
        <v>37891.61</v>
      </c>
      <c r="L346" s="183">
        <v>4988.3999999999996</v>
      </c>
      <c r="M346" s="183">
        <v>4988.3999999999996</v>
      </c>
      <c r="N346" s="43">
        <f t="shared" si="136"/>
        <v>0</v>
      </c>
      <c r="O346" s="183">
        <v>37891.61</v>
      </c>
      <c r="P346" s="183">
        <v>4988.3999999999996</v>
      </c>
      <c r="Q346" s="183">
        <v>4988.3999999999996</v>
      </c>
      <c r="R346" s="472">
        <f t="shared" si="139"/>
        <v>0</v>
      </c>
      <c r="S346" s="472">
        <f t="shared" si="140"/>
        <v>0</v>
      </c>
      <c r="T346" s="472">
        <f t="shared" si="141"/>
        <v>0</v>
      </c>
      <c r="U346" s="182" t="s">
        <v>202</v>
      </c>
      <c r="V346" s="36" t="s">
        <v>102</v>
      </c>
      <c r="W346" s="37" t="s">
        <v>104</v>
      </c>
      <c r="X346" s="37" t="s">
        <v>98</v>
      </c>
      <c r="Y346" s="37" t="s">
        <v>527</v>
      </c>
      <c r="Z346" s="37" t="s">
        <v>90</v>
      </c>
      <c r="AA346" s="12" t="b">
        <f t="shared" si="143"/>
        <v>1</v>
      </c>
      <c r="AB346" s="12" t="b">
        <f t="shared" si="144"/>
        <v>1</v>
      </c>
      <c r="AC346" s="12" t="b">
        <f t="shared" si="145"/>
        <v>1</v>
      </c>
      <c r="AD346" s="12" t="b">
        <f t="shared" si="146"/>
        <v>1</v>
      </c>
      <c r="AE346" s="12" t="b">
        <f t="shared" si="147"/>
        <v>1</v>
      </c>
      <c r="AF346" s="12" t="b">
        <f t="shared" si="148"/>
        <v>1</v>
      </c>
    </row>
    <row r="347" spans="1:32" s="44" customFormat="1" ht="15.75" customHeight="1">
      <c r="A347" s="285"/>
      <c r="B347" s="23" t="s">
        <v>132</v>
      </c>
      <c r="C347" s="36" t="s">
        <v>102</v>
      </c>
      <c r="D347" s="37" t="s">
        <v>104</v>
      </c>
      <c r="E347" s="37" t="s">
        <v>98</v>
      </c>
      <c r="F347" s="37" t="s">
        <v>527</v>
      </c>
      <c r="G347" s="37" t="s">
        <v>171</v>
      </c>
      <c r="H347" s="183">
        <v>37760.21</v>
      </c>
      <c r="I347" s="183">
        <v>4857</v>
      </c>
      <c r="J347" s="183">
        <v>4857</v>
      </c>
      <c r="K347" s="183">
        <v>37760.21</v>
      </c>
      <c r="L347" s="183">
        <v>4857</v>
      </c>
      <c r="M347" s="183">
        <v>4857</v>
      </c>
      <c r="N347" s="43">
        <f t="shared" si="136"/>
        <v>0</v>
      </c>
      <c r="O347" s="183">
        <v>37760.21</v>
      </c>
      <c r="P347" s="183">
        <v>4857</v>
      </c>
      <c r="Q347" s="183">
        <v>4857</v>
      </c>
      <c r="R347" s="472">
        <f t="shared" si="139"/>
        <v>0</v>
      </c>
      <c r="S347" s="472">
        <f t="shared" si="140"/>
        <v>0</v>
      </c>
      <c r="T347" s="472">
        <f t="shared" si="141"/>
        <v>0</v>
      </c>
      <c r="U347" s="23" t="s">
        <v>132</v>
      </c>
      <c r="V347" s="36" t="s">
        <v>102</v>
      </c>
      <c r="W347" s="37" t="s">
        <v>104</v>
      </c>
      <c r="X347" s="37" t="s">
        <v>98</v>
      </c>
      <c r="Y347" s="37" t="s">
        <v>527</v>
      </c>
      <c r="Z347" s="37" t="s">
        <v>171</v>
      </c>
      <c r="AA347" s="12" t="b">
        <f t="shared" si="143"/>
        <v>1</v>
      </c>
      <c r="AB347" s="12" t="b">
        <f t="shared" si="144"/>
        <v>1</v>
      </c>
      <c r="AC347" s="12" t="b">
        <f t="shared" si="145"/>
        <v>1</v>
      </c>
      <c r="AD347" s="12" t="b">
        <f t="shared" si="146"/>
        <v>1</v>
      </c>
      <c r="AE347" s="12" t="b">
        <f t="shared" si="147"/>
        <v>1</v>
      </c>
      <c r="AF347" s="12" t="b">
        <f t="shared" si="148"/>
        <v>1</v>
      </c>
    </row>
    <row r="348" spans="1:32" s="44" customFormat="1" ht="16.5" customHeight="1">
      <c r="A348" s="285"/>
      <c r="B348" s="23" t="s">
        <v>133</v>
      </c>
      <c r="C348" s="36" t="s">
        <v>102</v>
      </c>
      <c r="D348" s="37" t="s">
        <v>104</v>
      </c>
      <c r="E348" s="37" t="s">
        <v>98</v>
      </c>
      <c r="F348" s="37" t="s">
        <v>527</v>
      </c>
      <c r="G348" s="37" t="s">
        <v>19</v>
      </c>
      <c r="H348" s="183">
        <v>131.4</v>
      </c>
      <c r="I348" s="183">
        <v>131.4</v>
      </c>
      <c r="J348" s="183">
        <v>131.4</v>
      </c>
      <c r="K348" s="183">
        <v>131.4</v>
      </c>
      <c r="L348" s="183">
        <v>131.4</v>
      </c>
      <c r="M348" s="183">
        <v>131.4</v>
      </c>
      <c r="N348" s="43">
        <f t="shared" si="136"/>
        <v>0</v>
      </c>
      <c r="O348" s="183">
        <v>131.4</v>
      </c>
      <c r="P348" s="183">
        <v>131.4</v>
      </c>
      <c r="Q348" s="183">
        <v>131.4</v>
      </c>
      <c r="R348" s="472">
        <f t="shared" si="139"/>
        <v>0</v>
      </c>
      <c r="S348" s="472">
        <f t="shared" si="140"/>
        <v>0</v>
      </c>
      <c r="T348" s="472">
        <f t="shared" si="141"/>
        <v>0</v>
      </c>
      <c r="U348" s="23" t="s">
        <v>133</v>
      </c>
      <c r="V348" s="36" t="s">
        <v>102</v>
      </c>
      <c r="W348" s="37" t="s">
        <v>104</v>
      </c>
      <c r="X348" s="37" t="s">
        <v>98</v>
      </c>
      <c r="Y348" s="37" t="s">
        <v>527</v>
      </c>
      <c r="Z348" s="37" t="s">
        <v>19</v>
      </c>
      <c r="AA348" s="12" t="b">
        <f t="shared" si="143"/>
        <v>1</v>
      </c>
      <c r="AB348" s="12" t="b">
        <f t="shared" si="144"/>
        <v>1</v>
      </c>
      <c r="AC348" s="12" t="b">
        <f t="shared" si="145"/>
        <v>1</v>
      </c>
      <c r="AD348" s="12" t="b">
        <f t="shared" si="146"/>
        <v>1</v>
      </c>
      <c r="AE348" s="12" t="b">
        <f t="shared" si="147"/>
        <v>1</v>
      </c>
      <c r="AF348" s="12" t="b">
        <f t="shared" si="148"/>
        <v>1</v>
      </c>
    </row>
    <row r="349" spans="1:32" s="44" customFormat="1" ht="15.75" customHeight="1">
      <c r="A349" s="285"/>
      <c r="B349" s="182" t="s">
        <v>671</v>
      </c>
      <c r="C349" s="36" t="s">
        <v>102</v>
      </c>
      <c r="D349" s="37" t="s">
        <v>104</v>
      </c>
      <c r="E349" s="37" t="s">
        <v>98</v>
      </c>
      <c r="F349" s="37" t="s">
        <v>326</v>
      </c>
      <c r="G349" s="37" t="s">
        <v>90</v>
      </c>
      <c r="H349" s="183">
        <f t="shared" ref="H349:J350" si="152">H350</f>
        <v>5077.74</v>
      </c>
      <c r="I349" s="183">
        <f t="shared" si="152"/>
        <v>5077.74</v>
      </c>
      <c r="J349" s="183">
        <f t="shared" si="152"/>
        <v>5077.74</v>
      </c>
      <c r="K349" s="183">
        <v>5077.74</v>
      </c>
      <c r="L349" s="183">
        <v>5077.74</v>
      </c>
      <c r="M349" s="183">
        <v>5077.74</v>
      </c>
      <c r="N349" s="43">
        <f t="shared" si="136"/>
        <v>0</v>
      </c>
      <c r="O349" s="183">
        <v>5077.74</v>
      </c>
      <c r="P349" s="183">
        <v>5077.74</v>
      </c>
      <c r="Q349" s="183">
        <v>5077.74</v>
      </c>
      <c r="R349" s="472">
        <f t="shared" si="139"/>
        <v>0</v>
      </c>
      <c r="S349" s="472">
        <f t="shared" si="140"/>
        <v>0</v>
      </c>
      <c r="T349" s="472">
        <f t="shared" si="141"/>
        <v>0</v>
      </c>
      <c r="U349" s="182" t="s">
        <v>671</v>
      </c>
      <c r="V349" s="36" t="s">
        <v>102</v>
      </c>
      <c r="W349" s="37" t="s">
        <v>104</v>
      </c>
      <c r="X349" s="37" t="s">
        <v>98</v>
      </c>
      <c r="Y349" s="37" t="s">
        <v>326</v>
      </c>
      <c r="Z349" s="37" t="s">
        <v>90</v>
      </c>
      <c r="AA349" s="12" t="b">
        <f t="shared" si="143"/>
        <v>1</v>
      </c>
      <c r="AB349" s="12" t="b">
        <f t="shared" si="144"/>
        <v>1</v>
      </c>
      <c r="AC349" s="12" t="b">
        <f t="shared" si="145"/>
        <v>1</v>
      </c>
      <c r="AD349" s="12" t="b">
        <f t="shared" si="146"/>
        <v>1</v>
      </c>
      <c r="AE349" s="12" t="b">
        <f t="shared" si="147"/>
        <v>1</v>
      </c>
      <c r="AF349" s="12" t="b">
        <f t="shared" si="148"/>
        <v>1</v>
      </c>
    </row>
    <row r="350" spans="1:32" s="44" customFormat="1" ht="15" customHeight="1">
      <c r="A350" s="285"/>
      <c r="B350" s="54" t="s">
        <v>672</v>
      </c>
      <c r="C350" s="36" t="s">
        <v>102</v>
      </c>
      <c r="D350" s="37" t="s">
        <v>104</v>
      </c>
      <c r="E350" s="37" t="s">
        <v>98</v>
      </c>
      <c r="F350" s="37" t="s">
        <v>327</v>
      </c>
      <c r="G350" s="37" t="s">
        <v>90</v>
      </c>
      <c r="H350" s="183">
        <f t="shared" si="152"/>
        <v>5077.74</v>
      </c>
      <c r="I350" s="183">
        <f t="shared" si="152"/>
        <v>5077.74</v>
      </c>
      <c r="J350" s="183">
        <f t="shared" si="152"/>
        <v>5077.74</v>
      </c>
      <c r="K350" s="183">
        <v>5077.74</v>
      </c>
      <c r="L350" s="183">
        <v>5077.74</v>
      </c>
      <c r="M350" s="183">
        <v>5077.74</v>
      </c>
      <c r="N350" s="43">
        <f t="shared" si="136"/>
        <v>0</v>
      </c>
      <c r="O350" s="183">
        <v>5077.74</v>
      </c>
      <c r="P350" s="183">
        <v>5077.74</v>
      </c>
      <c r="Q350" s="183">
        <v>5077.74</v>
      </c>
      <c r="R350" s="472">
        <f t="shared" si="139"/>
        <v>0</v>
      </c>
      <c r="S350" s="472">
        <f t="shared" si="140"/>
        <v>0</v>
      </c>
      <c r="T350" s="472">
        <f t="shared" si="141"/>
        <v>0</v>
      </c>
      <c r="U350" s="54" t="s">
        <v>672</v>
      </c>
      <c r="V350" s="36" t="s">
        <v>102</v>
      </c>
      <c r="W350" s="37" t="s">
        <v>104</v>
      </c>
      <c r="X350" s="37" t="s">
        <v>98</v>
      </c>
      <c r="Y350" s="37" t="s">
        <v>327</v>
      </c>
      <c r="Z350" s="37" t="s">
        <v>90</v>
      </c>
      <c r="AA350" s="12" t="b">
        <f t="shared" si="143"/>
        <v>1</v>
      </c>
      <c r="AB350" s="12" t="b">
        <f t="shared" si="144"/>
        <v>1</v>
      </c>
      <c r="AC350" s="12" t="b">
        <f t="shared" si="145"/>
        <v>1</v>
      </c>
      <c r="AD350" s="12" t="b">
        <f t="shared" si="146"/>
        <v>1</v>
      </c>
      <c r="AE350" s="12" t="b">
        <f t="shared" si="147"/>
        <v>1</v>
      </c>
      <c r="AF350" s="12" t="b">
        <f t="shared" si="148"/>
        <v>1</v>
      </c>
    </row>
    <row r="351" spans="1:32" s="44" customFormat="1" ht="17.25" customHeight="1">
      <c r="A351" s="285"/>
      <c r="B351" s="182" t="s">
        <v>328</v>
      </c>
      <c r="C351" s="36" t="s">
        <v>102</v>
      </c>
      <c r="D351" s="37" t="s">
        <v>104</v>
      </c>
      <c r="E351" s="37" t="s">
        <v>98</v>
      </c>
      <c r="F351" s="37" t="s">
        <v>329</v>
      </c>
      <c r="G351" s="37" t="s">
        <v>90</v>
      </c>
      <c r="H351" s="183">
        <f>H353</f>
        <v>5077.74</v>
      </c>
      <c r="I351" s="183">
        <f>I353</f>
        <v>5077.74</v>
      </c>
      <c r="J351" s="183">
        <f>J353</f>
        <v>5077.74</v>
      </c>
      <c r="K351" s="183">
        <v>5077.74</v>
      </c>
      <c r="L351" s="183">
        <v>5077.74</v>
      </c>
      <c r="M351" s="183">
        <v>5077.74</v>
      </c>
      <c r="N351" s="43">
        <f t="shared" si="136"/>
        <v>0</v>
      </c>
      <c r="O351" s="183">
        <v>5077.74</v>
      </c>
      <c r="P351" s="183">
        <v>5077.74</v>
      </c>
      <c r="Q351" s="183">
        <v>5077.74</v>
      </c>
      <c r="R351" s="472">
        <f t="shared" si="139"/>
        <v>0</v>
      </c>
      <c r="S351" s="472">
        <f t="shared" si="140"/>
        <v>0</v>
      </c>
      <c r="T351" s="472">
        <f t="shared" si="141"/>
        <v>0</v>
      </c>
      <c r="U351" s="182" t="s">
        <v>328</v>
      </c>
      <c r="V351" s="36" t="s">
        <v>102</v>
      </c>
      <c r="W351" s="37" t="s">
        <v>104</v>
      </c>
      <c r="X351" s="37" t="s">
        <v>98</v>
      </c>
      <c r="Y351" s="37" t="s">
        <v>329</v>
      </c>
      <c r="Z351" s="37" t="s">
        <v>90</v>
      </c>
      <c r="AA351" s="12" t="b">
        <f t="shared" si="143"/>
        <v>1</v>
      </c>
      <c r="AB351" s="12" t="b">
        <f t="shared" si="144"/>
        <v>1</v>
      </c>
      <c r="AC351" s="12" t="b">
        <f t="shared" si="145"/>
        <v>1</v>
      </c>
      <c r="AD351" s="12" t="b">
        <f t="shared" si="146"/>
        <v>1</v>
      </c>
      <c r="AE351" s="12" t="b">
        <f t="shared" si="147"/>
        <v>1</v>
      </c>
      <c r="AF351" s="12" t="b">
        <f t="shared" si="148"/>
        <v>1</v>
      </c>
    </row>
    <row r="352" spans="1:32" s="44" customFormat="1" ht="17.25" customHeight="1">
      <c r="A352" s="285"/>
      <c r="B352" s="23" t="s">
        <v>811</v>
      </c>
      <c r="C352" s="36" t="s">
        <v>102</v>
      </c>
      <c r="D352" s="37" t="s">
        <v>104</v>
      </c>
      <c r="E352" s="37" t="s">
        <v>98</v>
      </c>
      <c r="F352" s="37" t="s">
        <v>330</v>
      </c>
      <c r="G352" s="37" t="s">
        <v>90</v>
      </c>
      <c r="H352" s="183">
        <f>H353</f>
        <v>5077.74</v>
      </c>
      <c r="I352" s="183">
        <f>I353</f>
        <v>5077.74</v>
      </c>
      <c r="J352" s="183">
        <f>J353</f>
        <v>5077.74</v>
      </c>
      <c r="K352" s="183">
        <v>5077.74</v>
      </c>
      <c r="L352" s="183">
        <v>5077.74</v>
      </c>
      <c r="M352" s="183">
        <v>5077.74</v>
      </c>
      <c r="N352" s="43">
        <f t="shared" si="136"/>
        <v>0</v>
      </c>
      <c r="O352" s="183">
        <v>5077.74</v>
      </c>
      <c r="P352" s="183">
        <v>5077.74</v>
      </c>
      <c r="Q352" s="183">
        <v>5077.74</v>
      </c>
      <c r="R352" s="472">
        <f t="shared" si="139"/>
        <v>0</v>
      </c>
      <c r="S352" s="472">
        <f t="shared" si="140"/>
        <v>0</v>
      </c>
      <c r="T352" s="472">
        <f t="shared" si="141"/>
        <v>0</v>
      </c>
      <c r="U352" s="23" t="s">
        <v>811</v>
      </c>
      <c r="V352" s="36" t="s">
        <v>102</v>
      </c>
      <c r="W352" s="37" t="s">
        <v>104</v>
      </c>
      <c r="X352" s="37" t="s">
        <v>98</v>
      </c>
      <c r="Y352" s="37" t="s">
        <v>330</v>
      </c>
      <c r="Z352" s="37" t="s">
        <v>90</v>
      </c>
      <c r="AA352" s="12" t="b">
        <f t="shared" si="143"/>
        <v>1</v>
      </c>
      <c r="AB352" s="12" t="b">
        <f t="shared" si="144"/>
        <v>1</v>
      </c>
      <c r="AC352" s="12" t="b">
        <f t="shared" si="145"/>
        <v>1</v>
      </c>
      <c r="AD352" s="12" t="b">
        <f t="shared" si="146"/>
        <v>1</v>
      </c>
      <c r="AE352" s="12" t="b">
        <f t="shared" si="147"/>
        <v>1</v>
      </c>
      <c r="AF352" s="12" t="b">
        <f t="shared" si="148"/>
        <v>1</v>
      </c>
    </row>
    <row r="353" spans="1:32" s="44" customFormat="1" ht="17.25" customHeight="1">
      <c r="A353" s="285"/>
      <c r="B353" s="23" t="s">
        <v>132</v>
      </c>
      <c r="C353" s="36" t="s">
        <v>102</v>
      </c>
      <c r="D353" s="37" t="s">
        <v>104</v>
      </c>
      <c r="E353" s="37" t="s">
        <v>98</v>
      </c>
      <c r="F353" s="37" t="s">
        <v>330</v>
      </c>
      <c r="G353" s="37" t="s">
        <v>171</v>
      </c>
      <c r="H353" s="183">
        <v>5077.74</v>
      </c>
      <c r="I353" s="183">
        <v>5077.74</v>
      </c>
      <c r="J353" s="183">
        <v>5077.74</v>
      </c>
      <c r="K353" s="183">
        <v>5077.74</v>
      </c>
      <c r="L353" s="183">
        <v>5077.74</v>
      </c>
      <c r="M353" s="183">
        <v>5077.74</v>
      </c>
      <c r="N353" s="43">
        <f t="shared" si="136"/>
        <v>0</v>
      </c>
      <c r="O353" s="183">
        <v>5077.74</v>
      </c>
      <c r="P353" s="183">
        <v>5077.74</v>
      </c>
      <c r="Q353" s="183">
        <v>5077.74</v>
      </c>
      <c r="R353" s="472">
        <f t="shared" si="139"/>
        <v>0</v>
      </c>
      <c r="S353" s="472">
        <f t="shared" si="140"/>
        <v>0</v>
      </c>
      <c r="T353" s="472">
        <f t="shared" si="141"/>
        <v>0</v>
      </c>
      <c r="U353" s="23" t="s">
        <v>132</v>
      </c>
      <c r="V353" s="36" t="s">
        <v>102</v>
      </c>
      <c r="W353" s="37" t="s">
        <v>104</v>
      </c>
      <c r="X353" s="37" t="s">
        <v>98</v>
      </c>
      <c r="Y353" s="37" t="s">
        <v>330</v>
      </c>
      <c r="Z353" s="37" t="s">
        <v>171</v>
      </c>
      <c r="AA353" s="12" t="b">
        <f t="shared" si="143"/>
        <v>1</v>
      </c>
      <c r="AB353" s="12" t="b">
        <f t="shared" si="144"/>
        <v>1</v>
      </c>
      <c r="AC353" s="12" t="b">
        <f t="shared" si="145"/>
        <v>1</v>
      </c>
      <c r="AD353" s="12" t="b">
        <f t="shared" si="146"/>
        <v>1</v>
      </c>
      <c r="AE353" s="12" t="b">
        <f t="shared" si="147"/>
        <v>1</v>
      </c>
      <c r="AF353" s="12" t="b">
        <f t="shared" si="148"/>
        <v>1</v>
      </c>
    </row>
    <row r="354" spans="1:32" s="44" customFormat="1" ht="17.25" customHeight="1">
      <c r="A354" s="285"/>
      <c r="B354" s="32" t="s">
        <v>94</v>
      </c>
      <c r="C354" s="33" t="s">
        <v>102</v>
      </c>
      <c r="D354" s="34" t="s">
        <v>104</v>
      </c>
      <c r="E354" s="34" t="s">
        <v>99</v>
      </c>
      <c r="F354" s="34" t="s">
        <v>223</v>
      </c>
      <c r="G354" s="34" t="s">
        <v>90</v>
      </c>
      <c r="H354" s="35">
        <f>H355+H392+H409+H415+H387</f>
        <v>5012684.7499999991</v>
      </c>
      <c r="I354" s="35">
        <f>I355+I392+I409+I415+I387</f>
        <v>3595112.25</v>
      </c>
      <c r="J354" s="35">
        <f>J355+J392+J409+J415+J387</f>
        <v>3585468.37</v>
      </c>
      <c r="K354" s="35">
        <v>4766761.5999999996</v>
      </c>
      <c r="L354" s="35">
        <v>2952826.34</v>
      </c>
      <c r="M354" s="35">
        <v>2958809.3200000003</v>
      </c>
      <c r="N354" s="43">
        <f t="shared" si="136"/>
        <v>-626659.04999999981</v>
      </c>
      <c r="O354" s="35">
        <v>4755857.43</v>
      </c>
      <c r="P354" s="35">
        <v>2941589.2199999997</v>
      </c>
      <c r="Q354" s="35">
        <v>2953184.93</v>
      </c>
      <c r="R354" s="472">
        <f t="shared" si="139"/>
        <v>256827.31999999937</v>
      </c>
      <c r="S354" s="472">
        <f t="shared" si="140"/>
        <v>653523.03000000026</v>
      </c>
      <c r="T354" s="472">
        <f t="shared" si="141"/>
        <v>632283.43999999994</v>
      </c>
      <c r="U354" s="32" t="s">
        <v>94</v>
      </c>
      <c r="V354" s="33" t="s">
        <v>102</v>
      </c>
      <c r="W354" s="34" t="s">
        <v>104</v>
      </c>
      <c r="X354" s="34" t="s">
        <v>99</v>
      </c>
      <c r="Y354" s="34" t="s">
        <v>223</v>
      </c>
      <c r="Z354" s="34" t="s">
        <v>90</v>
      </c>
      <c r="AA354" s="12" t="b">
        <f t="shared" si="143"/>
        <v>1</v>
      </c>
      <c r="AB354" s="12" t="b">
        <f t="shared" si="144"/>
        <v>1</v>
      </c>
      <c r="AC354" s="12" t="b">
        <f t="shared" si="145"/>
        <v>1</v>
      </c>
      <c r="AD354" s="12" t="b">
        <f t="shared" si="146"/>
        <v>1</v>
      </c>
      <c r="AE354" s="12" t="b">
        <f t="shared" si="147"/>
        <v>1</v>
      </c>
      <c r="AF354" s="12" t="b">
        <f t="shared" si="148"/>
        <v>1</v>
      </c>
    </row>
    <row r="355" spans="1:32" s="44" customFormat="1" ht="17.25" customHeight="1">
      <c r="A355" s="285"/>
      <c r="B355" s="23" t="s">
        <v>647</v>
      </c>
      <c r="C355" s="36" t="s">
        <v>102</v>
      </c>
      <c r="D355" s="37" t="s">
        <v>104</v>
      </c>
      <c r="E355" s="37" t="s">
        <v>99</v>
      </c>
      <c r="F355" s="37" t="s">
        <v>316</v>
      </c>
      <c r="G355" s="37" t="s">
        <v>90</v>
      </c>
      <c r="H355" s="183">
        <f>H356</f>
        <v>4937410.1599999992</v>
      </c>
      <c r="I355" s="183">
        <f>I356</f>
        <v>3539363.79</v>
      </c>
      <c r="J355" s="183">
        <f>J356</f>
        <v>3529719.91</v>
      </c>
      <c r="K355" s="183">
        <v>4711831.24</v>
      </c>
      <c r="L355" s="183">
        <v>2897077.88</v>
      </c>
      <c r="M355" s="183">
        <v>2903060.8600000003</v>
      </c>
      <c r="N355" s="43">
        <f t="shared" si="136"/>
        <v>-626659.04999999981</v>
      </c>
      <c r="O355" s="183">
        <v>4700594.12</v>
      </c>
      <c r="P355" s="183">
        <v>2885840.76</v>
      </c>
      <c r="Q355" s="183">
        <v>2897436.47</v>
      </c>
      <c r="R355" s="472">
        <f t="shared" si="139"/>
        <v>236816.03999999911</v>
      </c>
      <c r="S355" s="472">
        <f t="shared" si="140"/>
        <v>653523.03000000026</v>
      </c>
      <c r="T355" s="472">
        <f t="shared" si="141"/>
        <v>632283.43999999994</v>
      </c>
      <c r="U355" s="23" t="s">
        <v>647</v>
      </c>
      <c r="V355" s="36" t="s">
        <v>102</v>
      </c>
      <c r="W355" s="37" t="s">
        <v>104</v>
      </c>
      <c r="X355" s="37" t="s">
        <v>99</v>
      </c>
      <c r="Y355" s="37" t="s">
        <v>316</v>
      </c>
      <c r="Z355" s="37" t="s">
        <v>90</v>
      </c>
      <c r="AA355" s="12" t="b">
        <f t="shared" si="143"/>
        <v>1</v>
      </c>
      <c r="AB355" s="12" t="b">
        <f t="shared" si="144"/>
        <v>1</v>
      </c>
      <c r="AC355" s="12" t="b">
        <f t="shared" si="145"/>
        <v>1</v>
      </c>
      <c r="AD355" s="12" t="b">
        <f t="shared" si="146"/>
        <v>1</v>
      </c>
      <c r="AE355" s="12" t="b">
        <f t="shared" si="147"/>
        <v>1</v>
      </c>
      <c r="AF355" s="12" t="b">
        <f t="shared" si="148"/>
        <v>1</v>
      </c>
    </row>
    <row r="356" spans="1:32" s="44" customFormat="1" ht="17.25" customHeight="1">
      <c r="A356" s="285"/>
      <c r="B356" s="23" t="s">
        <v>740</v>
      </c>
      <c r="C356" s="36" t="s">
        <v>102</v>
      </c>
      <c r="D356" s="37" t="s">
        <v>104</v>
      </c>
      <c r="E356" s="37" t="s">
        <v>99</v>
      </c>
      <c r="F356" s="37" t="s">
        <v>317</v>
      </c>
      <c r="G356" s="37" t="s">
        <v>90</v>
      </c>
      <c r="H356" s="183">
        <f>H357+H372+H383+H380</f>
        <v>4937410.1599999992</v>
      </c>
      <c r="I356" s="183">
        <f t="shared" ref="I356:J356" si="153">I357+I372+I383+I380</f>
        <v>3539363.79</v>
      </c>
      <c r="J356" s="183">
        <f t="shared" si="153"/>
        <v>3529719.91</v>
      </c>
      <c r="K356" s="183">
        <v>4711831.24</v>
      </c>
      <c r="L356" s="183">
        <v>2897077.88</v>
      </c>
      <c r="M356" s="183">
        <v>2903060.8600000003</v>
      </c>
      <c r="N356" s="43">
        <f t="shared" si="136"/>
        <v>-626659.04999999981</v>
      </c>
      <c r="O356" s="183">
        <v>4700594.12</v>
      </c>
      <c r="P356" s="183">
        <v>2885840.76</v>
      </c>
      <c r="Q356" s="183">
        <v>2897436.47</v>
      </c>
      <c r="R356" s="472">
        <f t="shared" si="139"/>
        <v>236816.03999999911</v>
      </c>
      <c r="S356" s="472">
        <f t="shared" si="140"/>
        <v>653523.03000000026</v>
      </c>
      <c r="T356" s="472">
        <f t="shared" si="141"/>
        <v>632283.43999999994</v>
      </c>
      <c r="U356" s="23" t="s">
        <v>740</v>
      </c>
      <c r="V356" s="36" t="s">
        <v>102</v>
      </c>
      <c r="W356" s="37" t="s">
        <v>104</v>
      </c>
      <c r="X356" s="37" t="s">
        <v>99</v>
      </c>
      <c r="Y356" s="37" t="s">
        <v>317</v>
      </c>
      <c r="Z356" s="37" t="s">
        <v>90</v>
      </c>
      <c r="AA356" s="12" t="b">
        <f t="shared" si="143"/>
        <v>1</v>
      </c>
      <c r="AB356" s="12" t="b">
        <f t="shared" si="144"/>
        <v>1</v>
      </c>
      <c r="AC356" s="12" t="b">
        <f t="shared" si="145"/>
        <v>1</v>
      </c>
      <c r="AD356" s="12" t="b">
        <f t="shared" si="146"/>
        <v>1</v>
      </c>
      <c r="AE356" s="12" t="b">
        <f t="shared" si="147"/>
        <v>1</v>
      </c>
      <c r="AF356" s="12" t="b">
        <f t="shared" si="148"/>
        <v>1</v>
      </c>
    </row>
    <row r="357" spans="1:32" s="44" customFormat="1" ht="17.25" customHeight="1">
      <c r="A357" s="285"/>
      <c r="B357" s="23" t="s">
        <v>568</v>
      </c>
      <c r="C357" s="36" t="s">
        <v>102</v>
      </c>
      <c r="D357" s="37" t="s">
        <v>104</v>
      </c>
      <c r="E357" s="37" t="s">
        <v>99</v>
      </c>
      <c r="F357" s="37" t="s">
        <v>331</v>
      </c>
      <c r="G357" s="37" t="s">
        <v>90</v>
      </c>
      <c r="H357" s="183">
        <f>H358+H362+H366+H369</f>
        <v>2903830.2899999996</v>
      </c>
      <c r="I357" s="183">
        <f>I358+I362+I366+I369</f>
        <v>2919752.4699999997</v>
      </c>
      <c r="J357" s="183">
        <f>J358+J362+J366+J369</f>
        <v>2925427.83</v>
      </c>
      <c r="K357" s="183">
        <v>2875542.9699999997</v>
      </c>
      <c r="L357" s="183">
        <v>2891465.15</v>
      </c>
      <c r="M357" s="183">
        <v>2903060.8600000003</v>
      </c>
      <c r="N357" s="43">
        <f t="shared" si="136"/>
        <v>-22366.969999999739</v>
      </c>
      <c r="O357" s="183">
        <v>2864305.85</v>
      </c>
      <c r="P357" s="183">
        <v>2880228.03</v>
      </c>
      <c r="Q357" s="183">
        <v>2891823.74</v>
      </c>
      <c r="R357" s="472">
        <f t="shared" si="139"/>
        <v>39524.439999999478</v>
      </c>
      <c r="S357" s="472">
        <f t="shared" si="140"/>
        <v>39524.439999999944</v>
      </c>
      <c r="T357" s="472">
        <f t="shared" si="141"/>
        <v>33604.089999999851</v>
      </c>
      <c r="U357" s="23" t="s">
        <v>568</v>
      </c>
      <c r="V357" s="36" t="s">
        <v>102</v>
      </c>
      <c r="W357" s="37" t="s">
        <v>104</v>
      </c>
      <c r="X357" s="37" t="s">
        <v>99</v>
      </c>
      <c r="Y357" s="37" t="s">
        <v>331</v>
      </c>
      <c r="Z357" s="37" t="s">
        <v>90</v>
      </c>
      <c r="AA357" s="12" t="b">
        <f t="shared" si="143"/>
        <v>1</v>
      </c>
      <c r="AB357" s="12" t="b">
        <f t="shared" si="144"/>
        <v>1</v>
      </c>
      <c r="AC357" s="12" t="b">
        <f t="shared" si="145"/>
        <v>1</v>
      </c>
      <c r="AD357" s="12" t="b">
        <f t="shared" si="146"/>
        <v>1</v>
      </c>
      <c r="AE357" s="12" t="b">
        <f t="shared" si="147"/>
        <v>1</v>
      </c>
      <c r="AF357" s="12" t="b">
        <f t="shared" si="148"/>
        <v>1</v>
      </c>
    </row>
    <row r="358" spans="1:32" s="44" customFormat="1" ht="17.25" customHeight="1">
      <c r="A358" s="285"/>
      <c r="B358" s="23" t="s">
        <v>254</v>
      </c>
      <c r="C358" s="36" t="s">
        <v>102</v>
      </c>
      <c r="D358" s="37" t="s">
        <v>104</v>
      </c>
      <c r="E358" s="37" t="s">
        <v>99</v>
      </c>
      <c r="F358" s="37" t="s">
        <v>332</v>
      </c>
      <c r="G358" s="37" t="s">
        <v>90</v>
      </c>
      <c r="H358" s="183">
        <f>H359+H360+H361</f>
        <v>824040.4</v>
      </c>
      <c r="I358" s="183">
        <f>I359+I360+I361</f>
        <v>867928.62</v>
      </c>
      <c r="J358" s="183">
        <f>J359+J360+J361</f>
        <v>873603.98</v>
      </c>
      <c r="K358" s="183">
        <v>824040.4</v>
      </c>
      <c r="L358" s="183">
        <v>867928.62</v>
      </c>
      <c r="M358" s="183">
        <v>873603.98</v>
      </c>
      <c r="N358" s="43">
        <f t="shared" si="136"/>
        <v>0</v>
      </c>
      <c r="O358" s="183">
        <v>812803.28</v>
      </c>
      <c r="P358" s="183">
        <v>856691.5</v>
      </c>
      <c r="Q358" s="183">
        <v>862366.86</v>
      </c>
      <c r="R358" s="472">
        <f t="shared" si="139"/>
        <v>11237.119999999995</v>
      </c>
      <c r="S358" s="472">
        <f t="shared" si="140"/>
        <v>11237.119999999995</v>
      </c>
      <c r="T358" s="472">
        <f t="shared" si="141"/>
        <v>11237.119999999995</v>
      </c>
      <c r="U358" s="23" t="s">
        <v>254</v>
      </c>
      <c r="V358" s="36" t="s">
        <v>102</v>
      </c>
      <c r="W358" s="37" t="s">
        <v>104</v>
      </c>
      <c r="X358" s="37" t="s">
        <v>99</v>
      </c>
      <c r="Y358" s="37" t="s">
        <v>332</v>
      </c>
      <c r="Z358" s="37" t="s">
        <v>90</v>
      </c>
      <c r="AA358" s="12" t="b">
        <f t="shared" si="143"/>
        <v>1</v>
      </c>
      <c r="AB358" s="12" t="b">
        <f t="shared" si="144"/>
        <v>1</v>
      </c>
      <c r="AC358" s="12" t="b">
        <f t="shared" si="145"/>
        <v>1</v>
      </c>
      <c r="AD358" s="12" t="b">
        <f t="shared" si="146"/>
        <v>1</v>
      </c>
      <c r="AE358" s="12" t="b">
        <f t="shared" si="147"/>
        <v>1</v>
      </c>
      <c r="AF358" s="12" t="b">
        <f t="shared" si="148"/>
        <v>1</v>
      </c>
    </row>
    <row r="359" spans="1:32" s="44" customFormat="1" ht="17.25" customHeight="1">
      <c r="A359" s="285"/>
      <c r="B359" s="23" t="s">
        <v>132</v>
      </c>
      <c r="C359" s="36" t="s">
        <v>102</v>
      </c>
      <c r="D359" s="37" t="s">
        <v>104</v>
      </c>
      <c r="E359" s="37" t="s">
        <v>99</v>
      </c>
      <c r="F359" s="37" t="s">
        <v>332</v>
      </c>
      <c r="G359" s="37" t="s">
        <v>171</v>
      </c>
      <c r="H359" s="183">
        <f>746964.79+24+10415.69</f>
        <v>757404.48</v>
      </c>
      <c r="I359" s="183">
        <f>790896.82+24+10415.69</f>
        <v>801336.50999999989</v>
      </c>
      <c r="J359" s="183">
        <f>796119.71+24+10415.69</f>
        <v>806559.39999999991</v>
      </c>
      <c r="K359" s="183">
        <v>757404.48</v>
      </c>
      <c r="L359" s="183">
        <v>801336.50999999989</v>
      </c>
      <c r="M359" s="183">
        <v>806559.39999999991</v>
      </c>
      <c r="N359" s="43">
        <f t="shared" si="136"/>
        <v>0</v>
      </c>
      <c r="O359" s="183">
        <v>746964.79</v>
      </c>
      <c r="P359" s="183">
        <v>790896.82</v>
      </c>
      <c r="Q359" s="183">
        <v>796119.71</v>
      </c>
      <c r="R359" s="472">
        <f t="shared" si="139"/>
        <v>10439.689999999944</v>
      </c>
      <c r="S359" s="472">
        <f t="shared" si="140"/>
        <v>10439.689999999944</v>
      </c>
      <c r="T359" s="472">
        <f t="shared" si="141"/>
        <v>10439.689999999944</v>
      </c>
      <c r="U359" s="23" t="s">
        <v>132</v>
      </c>
      <c r="V359" s="36" t="s">
        <v>102</v>
      </c>
      <c r="W359" s="37" t="s">
        <v>104</v>
      </c>
      <c r="X359" s="37" t="s">
        <v>99</v>
      </c>
      <c r="Y359" s="37" t="s">
        <v>332</v>
      </c>
      <c r="Z359" s="37" t="s">
        <v>171</v>
      </c>
      <c r="AA359" s="12" t="b">
        <f t="shared" si="143"/>
        <v>1</v>
      </c>
      <c r="AB359" s="12" t="b">
        <f t="shared" si="144"/>
        <v>1</v>
      </c>
      <c r="AC359" s="12" t="b">
        <f t="shared" si="145"/>
        <v>1</v>
      </c>
      <c r="AD359" s="12" t="b">
        <f t="shared" si="146"/>
        <v>1</v>
      </c>
      <c r="AE359" s="12" t="b">
        <f t="shared" si="147"/>
        <v>1</v>
      </c>
      <c r="AF359" s="12" t="b">
        <f t="shared" si="148"/>
        <v>1</v>
      </c>
    </row>
    <row r="360" spans="1:32" s="44" customFormat="1" ht="17.25" customHeight="1">
      <c r="A360" s="285"/>
      <c r="B360" s="65" t="s">
        <v>133</v>
      </c>
      <c r="C360" s="56" t="s">
        <v>102</v>
      </c>
      <c r="D360" s="57" t="s">
        <v>104</v>
      </c>
      <c r="E360" s="57" t="s">
        <v>99</v>
      </c>
      <c r="F360" s="57" t="s">
        <v>332</v>
      </c>
      <c r="G360" s="57" t="s">
        <v>19</v>
      </c>
      <c r="H360" s="58">
        <f>55814.32+797.43</f>
        <v>56611.75</v>
      </c>
      <c r="I360" s="58">
        <f>55770.51+797.43</f>
        <v>56567.94</v>
      </c>
      <c r="J360" s="58">
        <f>56222.98+797.43</f>
        <v>57020.41</v>
      </c>
      <c r="K360" s="58">
        <v>56611.75</v>
      </c>
      <c r="L360" s="58">
        <v>56567.94</v>
      </c>
      <c r="M360" s="58">
        <v>57020.41</v>
      </c>
      <c r="N360" s="43">
        <f t="shared" si="136"/>
        <v>0</v>
      </c>
      <c r="O360" s="58">
        <v>55814.32</v>
      </c>
      <c r="P360" s="58">
        <v>55770.51</v>
      </c>
      <c r="Q360" s="58">
        <v>56222.98</v>
      </c>
      <c r="R360" s="472">
        <f t="shared" si="139"/>
        <v>797.43000000000029</v>
      </c>
      <c r="S360" s="472">
        <f t="shared" si="140"/>
        <v>797.43000000000029</v>
      </c>
      <c r="T360" s="472">
        <f t="shared" si="141"/>
        <v>797.43000000000029</v>
      </c>
      <c r="U360" s="65" t="s">
        <v>133</v>
      </c>
      <c r="V360" s="56" t="s">
        <v>102</v>
      </c>
      <c r="W360" s="57" t="s">
        <v>104</v>
      </c>
      <c r="X360" s="57" t="s">
        <v>99</v>
      </c>
      <c r="Y360" s="57" t="s">
        <v>332</v>
      </c>
      <c r="Z360" s="57" t="s">
        <v>19</v>
      </c>
      <c r="AA360" s="12" t="b">
        <f t="shared" si="143"/>
        <v>1</v>
      </c>
      <c r="AB360" s="12" t="b">
        <f t="shared" si="144"/>
        <v>1</v>
      </c>
      <c r="AC360" s="12" t="b">
        <f t="shared" si="145"/>
        <v>1</v>
      </c>
      <c r="AD360" s="12" t="b">
        <f t="shared" si="146"/>
        <v>1</v>
      </c>
      <c r="AE360" s="12" t="b">
        <f t="shared" si="147"/>
        <v>1</v>
      </c>
      <c r="AF360" s="12" t="b">
        <f t="shared" si="148"/>
        <v>1</v>
      </c>
    </row>
    <row r="361" spans="1:32" s="44" customFormat="1" ht="17.25" customHeight="1">
      <c r="A361" s="285"/>
      <c r="B361" s="182" t="s">
        <v>983</v>
      </c>
      <c r="C361" s="36" t="s">
        <v>102</v>
      </c>
      <c r="D361" s="37" t="s">
        <v>104</v>
      </c>
      <c r="E361" s="37" t="s">
        <v>99</v>
      </c>
      <c r="F361" s="37" t="s">
        <v>332</v>
      </c>
      <c r="G361" s="37" t="s">
        <v>142</v>
      </c>
      <c r="H361" s="183">
        <v>10024.17</v>
      </c>
      <c r="I361" s="183">
        <v>10024.17</v>
      </c>
      <c r="J361" s="183">
        <v>10024.17</v>
      </c>
      <c r="K361" s="183">
        <v>10024.17</v>
      </c>
      <c r="L361" s="183">
        <v>10024.17</v>
      </c>
      <c r="M361" s="183">
        <v>10024.17</v>
      </c>
      <c r="N361" s="43">
        <f t="shared" si="136"/>
        <v>0</v>
      </c>
      <c r="O361" s="183">
        <v>10024.17</v>
      </c>
      <c r="P361" s="183">
        <v>10024.17</v>
      </c>
      <c r="Q361" s="183">
        <v>10024.17</v>
      </c>
      <c r="R361" s="472">
        <f t="shared" si="139"/>
        <v>0</v>
      </c>
      <c r="S361" s="472">
        <f t="shared" si="140"/>
        <v>0</v>
      </c>
      <c r="T361" s="472">
        <f t="shared" si="141"/>
        <v>0</v>
      </c>
      <c r="U361" s="182" t="s">
        <v>983</v>
      </c>
      <c r="V361" s="36" t="s">
        <v>102</v>
      </c>
      <c r="W361" s="37" t="s">
        <v>104</v>
      </c>
      <c r="X361" s="37" t="s">
        <v>99</v>
      </c>
      <c r="Y361" s="37" t="s">
        <v>332</v>
      </c>
      <c r="Z361" s="37" t="s">
        <v>142</v>
      </c>
      <c r="AA361" s="12" t="b">
        <f t="shared" si="143"/>
        <v>1</v>
      </c>
      <c r="AB361" s="12" t="b">
        <f t="shared" si="144"/>
        <v>1</v>
      </c>
      <c r="AC361" s="12" t="b">
        <f t="shared" si="145"/>
        <v>1</v>
      </c>
      <c r="AD361" s="12" t="b">
        <f t="shared" si="146"/>
        <v>1</v>
      </c>
      <c r="AE361" s="12" t="b">
        <f t="shared" si="147"/>
        <v>1</v>
      </c>
      <c r="AF361" s="12" t="b">
        <f t="shared" si="148"/>
        <v>1</v>
      </c>
    </row>
    <row r="362" spans="1:32" s="44" customFormat="1" ht="17.25" customHeight="1">
      <c r="A362" s="285" t="s">
        <v>799</v>
      </c>
      <c r="B362" s="182" t="s">
        <v>841</v>
      </c>
      <c r="C362" s="36" t="s">
        <v>102</v>
      </c>
      <c r="D362" s="37" t="s">
        <v>104</v>
      </c>
      <c r="E362" s="37" t="s">
        <v>99</v>
      </c>
      <c r="F362" s="37" t="s">
        <v>333</v>
      </c>
      <c r="G362" s="37" t="s">
        <v>90</v>
      </c>
      <c r="H362" s="183">
        <f>H363+H364+H365</f>
        <v>1631786.92</v>
      </c>
      <c r="I362" s="183">
        <f>I363+I364+I365</f>
        <v>1603820.8800000001</v>
      </c>
      <c r="J362" s="183">
        <f>J363+J364+J365</f>
        <v>1603820.8800000001</v>
      </c>
      <c r="K362" s="183">
        <v>1631786.92</v>
      </c>
      <c r="L362" s="183">
        <v>1603820.8800000001</v>
      </c>
      <c r="M362" s="183">
        <v>1603820.8800000001</v>
      </c>
      <c r="N362" s="43">
        <f t="shared" si="136"/>
        <v>0</v>
      </c>
      <c r="O362" s="183">
        <v>1631786.92</v>
      </c>
      <c r="P362" s="183">
        <v>1603820.8800000001</v>
      </c>
      <c r="Q362" s="183">
        <v>1603820.8800000001</v>
      </c>
      <c r="R362" s="472">
        <f t="shared" si="139"/>
        <v>0</v>
      </c>
      <c r="S362" s="472">
        <f t="shared" si="140"/>
        <v>0</v>
      </c>
      <c r="T362" s="472">
        <f t="shared" si="141"/>
        <v>0</v>
      </c>
      <c r="U362" s="182" t="s">
        <v>841</v>
      </c>
      <c r="V362" s="36" t="s">
        <v>102</v>
      </c>
      <c r="W362" s="37" t="s">
        <v>104</v>
      </c>
      <c r="X362" s="37" t="s">
        <v>99</v>
      </c>
      <c r="Y362" s="37" t="s">
        <v>333</v>
      </c>
      <c r="Z362" s="37" t="s">
        <v>90</v>
      </c>
      <c r="AA362" s="12" t="b">
        <f t="shared" si="143"/>
        <v>1</v>
      </c>
      <c r="AB362" s="12" t="b">
        <f t="shared" si="144"/>
        <v>1</v>
      </c>
      <c r="AC362" s="12" t="b">
        <f t="shared" si="145"/>
        <v>1</v>
      </c>
      <c r="AD362" s="12" t="b">
        <f t="shared" si="146"/>
        <v>1</v>
      </c>
      <c r="AE362" s="12" t="b">
        <f t="shared" si="147"/>
        <v>1</v>
      </c>
      <c r="AF362" s="12" t="b">
        <f t="shared" si="148"/>
        <v>1</v>
      </c>
    </row>
    <row r="363" spans="1:32" s="44" customFormat="1" ht="17.25" customHeight="1">
      <c r="A363" s="285"/>
      <c r="B363" s="23" t="s">
        <v>132</v>
      </c>
      <c r="C363" s="36" t="s">
        <v>102</v>
      </c>
      <c r="D363" s="37" t="s">
        <v>104</v>
      </c>
      <c r="E363" s="37" t="s">
        <v>99</v>
      </c>
      <c r="F363" s="37" t="s">
        <v>333</v>
      </c>
      <c r="G363" s="37" t="s">
        <v>171</v>
      </c>
      <c r="H363" s="183">
        <v>1486093.66</v>
      </c>
      <c r="I363" s="183">
        <v>1458127.62</v>
      </c>
      <c r="J363" s="183">
        <v>1458127.62</v>
      </c>
      <c r="K363" s="183">
        <v>1486093.66</v>
      </c>
      <c r="L363" s="183">
        <v>1458127.62</v>
      </c>
      <c r="M363" s="183">
        <v>1458127.62</v>
      </c>
      <c r="N363" s="43">
        <f t="shared" si="136"/>
        <v>0</v>
      </c>
      <c r="O363" s="183">
        <v>1486093.66</v>
      </c>
      <c r="P363" s="183">
        <v>1458127.62</v>
      </c>
      <c r="Q363" s="183">
        <v>1458127.62</v>
      </c>
      <c r="R363" s="472">
        <f t="shared" si="139"/>
        <v>0</v>
      </c>
      <c r="S363" s="472">
        <f t="shared" si="140"/>
        <v>0</v>
      </c>
      <c r="T363" s="472">
        <f t="shared" si="141"/>
        <v>0</v>
      </c>
      <c r="U363" s="23" t="s">
        <v>132</v>
      </c>
      <c r="V363" s="36" t="s">
        <v>102</v>
      </c>
      <c r="W363" s="37" t="s">
        <v>104</v>
      </c>
      <c r="X363" s="37" t="s">
        <v>99</v>
      </c>
      <c r="Y363" s="37" t="s">
        <v>333</v>
      </c>
      <c r="Z363" s="37" t="s">
        <v>171</v>
      </c>
      <c r="AA363" s="12" t="b">
        <f t="shared" si="143"/>
        <v>1</v>
      </c>
      <c r="AB363" s="12" t="b">
        <f t="shared" si="144"/>
        <v>1</v>
      </c>
      <c r="AC363" s="12" t="b">
        <f t="shared" si="145"/>
        <v>1</v>
      </c>
      <c r="AD363" s="12" t="b">
        <f t="shared" si="146"/>
        <v>1</v>
      </c>
      <c r="AE363" s="12" t="b">
        <f t="shared" si="147"/>
        <v>1</v>
      </c>
      <c r="AF363" s="12" t="b">
        <f t="shared" si="148"/>
        <v>1</v>
      </c>
    </row>
    <row r="364" spans="1:32" s="44" customFormat="1" ht="17.25" customHeight="1">
      <c r="A364" s="285"/>
      <c r="B364" s="23" t="s">
        <v>133</v>
      </c>
      <c r="C364" s="36" t="s">
        <v>102</v>
      </c>
      <c r="D364" s="37" t="s">
        <v>104</v>
      </c>
      <c r="E364" s="37" t="s">
        <v>99</v>
      </c>
      <c r="F364" s="37" t="s">
        <v>333</v>
      </c>
      <c r="G364" s="37" t="s">
        <v>19</v>
      </c>
      <c r="H364" s="183">
        <v>137038.20000000001</v>
      </c>
      <c r="I364" s="183">
        <v>137038.20000000001</v>
      </c>
      <c r="J364" s="183">
        <v>137038.20000000001</v>
      </c>
      <c r="K364" s="183">
        <v>137038.20000000001</v>
      </c>
      <c r="L364" s="183">
        <v>137038.20000000001</v>
      </c>
      <c r="M364" s="183">
        <v>137038.20000000001</v>
      </c>
      <c r="N364" s="43">
        <f t="shared" si="136"/>
        <v>0</v>
      </c>
      <c r="O364" s="183">
        <v>137038.20000000001</v>
      </c>
      <c r="P364" s="183">
        <v>137038.20000000001</v>
      </c>
      <c r="Q364" s="183">
        <v>137038.20000000001</v>
      </c>
      <c r="R364" s="472">
        <f t="shared" si="139"/>
        <v>0</v>
      </c>
      <c r="S364" s="472">
        <f t="shared" si="140"/>
        <v>0</v>
      </c>
      <c r="T364" s="472">
        <f t="shared" si="141"/>
        <v>0</v>
      </c>
      <c r="U364" s="23" t="s">
        <v>133</v>
      </c>
      <c r="V364" s="36" t="s">
        <v>102</v>
      </c>
      <c r="W364" s="37" t="s">
        <v>104</v>
      </c>
      <c r="X364" s="37" t="s">
        <v>99</v>
      </c>
      <c r="Y364" s="37" t="s">
        <v>333</v>
      </c>
      <c r="Z364" s="37" t="s">
        <v>19</v>
      </c>
      <c r="AA364" s="12" t="b">
        <f t="shared" si="143"/>
        <v>1</v>
      </c>
      <c r="AB364" s="12" t="b">
        <f t="shared" si="144"/>
        <v>1</v>
      </c>
      <c r="AC364" s="12" t="b">
        <f t="shared" si="145"/>
        <v>1</v>
      </c>
      <c r="AD364" s="12" t="b">
        <f t="shared" si="146"/>
        <v>1</v>
      </c>
      <c r="AE364" s="12" t="b">
        <f t="shared" si="147"/>
        <v>1</v>
      </c>
      <c r="AF364" s="12" t="b">
        <f t="shared" si="148"/>
        <v>1</v>
      </c>
    </row>
    <row r="365" spans="1:32" s="44" customFormat="1" ht="17.25" customHeight="1">
      <c r="A365" s="285"/>
      <c r="B365" s="182" t="s">
        <v>983</v>
      </c>
      <c r="C365" s="36" t="s">
        <v>102</v>
      </c>
      <c r="D365" s="37" t="s">
        <v>104</v>
      </c>
      <c r="E365" s="37" t="s">
        <v>99</v>
      </c>
      <c r="F365" s="37" t="s">
        <v>333</v>
      </c>
      <c r="G365" s="37" t="s">
        <v>142</v>
      </c>
      <c r="H365" s="183">
        <v>8655.06</v>
      </c>
      <c r="I365" s="183">
        <v>8655.06</v>
      </c>
      <c r="J365" s="183">
        <v>8655.06</v>
      </c>
      <c r="K365" s="183">
        <v>8655.06</v>
      </c>
      <c r="L365" s="183">
        <v>8655.06</v>
      </c>
      <c r="M365" s="183">
        <v>8655.06</v>
      </c>
      <c r="N365" s="43">
        <f t="shared" si="136"/>
        <v>0</v>
      </c>
      <c r="O365" s="183">
        <v>8655.06</v>
      </c>
      <c r="P365" s="183">
        <v>8655.06</v>
      </c>
      <c r="Q365" s="183">
        <v>8655.06</v>
      </c>
      <c r="R365" s="472">
        <f t="shared" si="139"/>
        <v>0</v>
      </c>
      <c r="S365" s="472">
        <f t="shared" si="140"/>
        <v>0</v>
      </c>
      <c r="T365" s="472">
        <f t="shared" si="141"/>
        <v>0</v>
      </c>
      <c r="U365" s="182" t="s">
        <v>983</v>
      </c>
      <c r="V365" s="36" t="s">
        <v>102</v>
      </c>
      <c r="W365" s="37" t="s">
        <v>104</v>
      </c>
      <c r="X365" s="37" t="s">
        <v>99</v>
      </c>
      <c r="Y365" s="37" t="s">
        <v>333</v>
      </c>
      <c r="Z365" s="37" t="s">
        <v>142</v>
      </c>
      <c r="AA365" s="12" t="b">
        <f t="shared" si="143"/>
        <v>1</v>
      </c>
      <c r="AB365" s="12" t="b">
        <f t="shared" si="144"/>
        <v>1</v>
      </c>
      <c r="AC365" s="12" t="b">
        <f t="shared" si="145"/>
        <v>1</v>
      </c>
      <c r="AD365" s="12" t="b">
        <f t="shared" si="146"/>
        <v>1</v>
      </c>
      <c r="AE365" s="12" t="b">
        <f t="shared" si="147"/>
        <v>1</v>
      </c>
      <c r="AF365" s="12" t="b">
        <f t="shared" si="148"/>
        <v>1</v>
      </c>
    </row>
    <row r="366" spans="1:32" s="44" customFormat="1" ht="17.25" customHeight="1">
      <c r="A366" s="285"/>
      <c r="B366" s="182" t="s">
        <v>974</v>
      </c>
      <c r="C366" s="36" t="s">
        <v>102</v>
      </c>
      <c r="D366" s="37" t="s">
        <v>104</v>
      </c>
      <c r="E366" s="37" t="s">
        <v>99</v>
      </c>
      <c r="F366" s="37" t="s">
        <v>975</v>
      </c>
      <c r="G366" s="37" t="s">
        <v>90</v>
      </c>
      <c r="H366" s="183">
        <f>H367+H368</f>
        <v>303582.52999999997</v>
      </c>
      <c r="I366" s="183">
        <f>I367+I368</f>
        <v>303582.52999999997</v>
      </c>
      <c r="J366" s="183">
        <f>J367+J368</f>
        <v>303582.52999999997</v>
      </c>
      <c r="K366" s="183">
        <v>275295.21000000002</v>
      </c>
      <c r="L366" s="183">
        <v>275295.21000000002</v>
      </c>
      <c r="M366" s="183">
        <v>281215.56</v>
      </c>
      <c r="N366" s="43">
        <f t="shared" si="136"/>
        <v>-22366.969999999972</v>
      </c>
      <c r="O366" s="183">
        <v>275295.21000000002</v>
      </c>
      <c r="P366" s="183">
        <v>275295.21000000002</v>
      </c>
      <c r="Q366" s="183">
        <v>281215.56</v>
      </c>
      <c r="R366" s="472">
        <f t="shared" si="139"/>
        <v>28287.319999999949</v>
      </c>
      <c r="S366" s="472">
        <f t="shared" si="140"/>
        <v>28287.319999999949</v>
      </c>
      <c r="T366" s="472">
        <f t="shared" si="141"/>
        <v>22366.969999999972</v>
      </c>
      <c r="U366" s="182" t="s">
        <v>974</v>
      </c>
      <c r="V366" s="36" t="s">
        <v>102</v>
      </c>
      <c r="W366" s="37" t="s">
        <v>104</v>
      </c>
      <c r="X366" s="37" t="s">
        <v>99</v>
      </c>
      <c r="Y366" s="37" t="s">
        <v>975</v>
      </c>
      <c r="Z366" s="37" t="s">
        <v>90</v>
      </c>
      <c r="AA366" s="12" t="b">
        <f t="shared" si="143"/>
        <v>1</v>
      </c>
      <c r="AB366" s="12" t="b">
        <f t="shared" si="144"/>
        <v>1</v>
      </c>
      <c r="AC366" s="12" t="b">
        <f t="shared" si="145"/>
        <v>1</v>
      </c>
      <c r="AD366" s="12" t="b">
        <f t="shared" si="146"/>
        <v>1</v>
      </c>
      <c r="AE366" s="12" t="b">
        <f t="shared" si="147"/>
        <v>1</v>
      </c>
      <c r="AF366" s="12" t="b">
        <f t="shared" si="148"/>
        <v>1</v>
      </c>
    </row>
    <row r="367" spans="1:32" s="44" customFormat="1" ht="17.25" customHeight="1">
      <c r="A367" s="285"/>
      <c r="B367" s="23" t="s">
        <v>132</v>
      </c>
      <c r="C367" s="36" t="s">
        <v>102</v>
      </c>
      <c r="D367" s="37" t="s">
        <v>104</v>
      </c>
      <c r="E367" s="37" t="s">
        <v>99</v>
      </c>
      <c r="F367" s="37" t="s">
        <v>975</v>
      </c>
      <c r="G367" s="37" t="s">
        <v>171</v>
      </c>
      <c r="H367" s="183">
        <f>255807.3+26872.95+1414.37</f>
        <v>284094.62</v>
      </c>
      <c r="I367" s="183">
        <f>255807.3+26872.95+1414.37</f>
        <v>284094.62</v>
      </c>
      <c r="J367" s="183">
        <f>261727.65+21248.62+1118.35</f>
        <v>284094.62</v>
      </c>
      <c r="K367" s="183">
        <v>255807.30000000002</v>
      </c>
      <c r="L367" s="183">
        <v>255807.30000000002</v>
      </c>
      <c r="M367" s="183">
        <v>261727.65</v>
      </c>
      <c r="N367" s="43">
        <f t="shared" si="136"/>
        <v>-22366.97</v>
      </c>
      <c r="O367" s="183">
        <v>255807.30000000002</v>
      </c>
      <c r="P367" s="183">
        <v>255807.30000000002</v>
      </c>
      <c r="Q367" s="183">
        <v>261727.65</v>
      </c>
      <c r="R367" s="472">
        <f t="shared" si="139"/>
        <v>28287.319999999978</v>
      </c>
      <c r="S367" s="472">
        <f t="shared" si="140"/>
        <v>28287.319999999978</v>
      </c>
      <c r="T367" s="472">
        <f t="shared" si="141"/>
        <v>22366.97</v>
      </c>
      <c r="U367" s="23" t="s">
        <v>132</v>
      </c>
      <c r="V367" s="36" t="s">
        <v>102</v>
      </c>
      <c r="W367" s="37" t="s">
        <v>104</v>
      </c>
      <c r="X367" s="37" t="s">
        <v>99</v>
      </c>
      <c r="Y367" s="37" t="s">
        <v>975</v>
      </c>
      <c r="Z367" s="37" t="s">
        <v>171</v>
      </c>
      <c r="AA367" s="12" t="b">
        <f t="shared" si="143"/>
        <v>1</v>
      </c>
      <c r="AB367" s="12" t="b">
        <f t="shared" si="144"/>
        <v>1</v>
      </c>
      <c r="AC367" s="12" t="b">
        <f t="shared" si="145"/>
        <v>1</v>
      </c>
      <c r="AD367" s="12" t="b">
        <f t="shared" si="146"/>
        <v>1</v>
      </c>
      <c r="AE367" s="12" t="b">
        <f t="shared" si="147"/>
        <v>1</v>
      </c>
      <c r="AF367" s="12" t="b">
        <f t="shared" si="148"/>
        <v>1</v>
      </c>
    </row>
    <row r="368" spans="1:32" s="44" customFormat="1" ht="17.25" customHeight="1">
      <c r="A368" s="285"/>
      <c r="B368" s="23" t="s">
        <v>133</v>
      </c>
      <c r="C368" s="36" t="s">
        <v>102</v>
      </c>
      <c r="D368" s="37" t="s">
        <v>104</v>
      </c>
      <c r="E368" s="37" t="s">
        <v>99</v>
      </c>
      <c r="F368" s="37" t="s">
        <v>975</v>
      </c>
      <c r="G368" s="37" t="s">
        <v>19</v>
      </c>
      <c r="H368" s="183">
        <v>19487.91</v>
      </c>
      <c r="I368" s="183">
        <v>19487.91</v>
      </c>
      <c r="J368" s="183">
        <v>19487.91</v>
      </c>
      <c r="K368" s="183">
        <v>19487.91</v>
      </c>
      <c r="L368" s="183">
        <v>19487.91</v>
      </c>
      <c r="M368" s="183">
        <v>19487.91</v>
      </c>
      <c r="N368" s="43">
        <f t="shared" si="136"/>
        <v>0</v>
      </c>
      <c r="O368" s="183">
        <v>19487.91</v>
      </c>
      <c r="P368" s="183">
        <v>19487.91</v>
      </c>
      <c r="Q368" s="183">
        <v>19487.91</v>
      </c>
      <c r="R368" s="472">
        <f t="shared" si="139"/>
        <v>0</v>
      </c>
      <c r="S368" s="472">
        <f t="shared" si="140"/>
        <v>0</v>
      </c>
      <c r="T368" s="472">
        <f t="shared" si="141"/>
        <v>0</v>
      </c>
      <c r="U368" s="23" t="s">
        <v>133</v>
      </c>
      <c r="V368" s="36" t="s">
        <v>102</v>
      </c>
      <c r="W368" s="37" t="s">
        <v>104</v>
      </c>
      <c r="X368" s="37" t="s">
        <v>99</v>
      </c>
      <c r="Y368" s="37" t="s">
        <v>975</v>
      </c>
      <c r="Z368" s="37" t="s">
        <v>19</v>
      </c>
      <c r="AA368" s="12" t="b">
        <f t="shared" si="143"/>
        <v>1</v>
      </c>
      <c r="AB368" s="12" t="b">
        <f t="shared" si="144"/>
        <v>1</v>
      </c>
      <c r="AC368" s="12" t="b">
        <f t="shared" si="145"/>
        <v>1</v>
      </c>
      <c r="AD368" s="12" t="b">
        <f t="shared" si="146"/>
        <v>1</v>
      </c>
      <c r="AE368" s="12" t="b">
        <f t="shared" si="147"/>
        <v>1</v>
      </c>
      <c r="AF368" s="12" t="b">
        <f t="shared" si="148"/>
        <v>1</v>
      </c>
    </row>
    <row r="369" spans="1:32" s="44" customFormat="1" ht="17.25" customHeight="1">
      <c r="A369" s="285" t="s">
        <v>799</v>
      </c>
      <c r="B369" s="182" t="s">
        <v>1151</v>
      </c>
      <c r="C369" s="36" t="s">
        <v>102</v>
      </c>
      <c r="D369" s="37" t="s">
        <v>104</v>
      </c>
      <c r="E369" s="37" t="s">
        <v>99</v>
      </c>
      <c r="F369" s="37" t="s">
        <v>1150</v>
      </c>
      <c r="G369" s="37" t="s">
        <v>90</v>
      </c>
      <c r="H369" s="183">
        <f>H370+H371</f>
        <v>144420.44</v>
      </c>
      <c r="I369" s="183">
        <f t="shared" ref="I369:J369" si="154">I370+I371</f>
        <v>144420.44</v>
      </c>
      <c r="J369" s="183">
        <f t="shared" si="154"/>
        <v>144420.44</v>
      </c>
      <c r="K369" s="183">
        <v>144420.44</v>
      </c>
      <c r="L369" s="183">
        <v>144420.44</v>
      </c>
      <c r="M369" s="183">
        <v>144420.44</v>
      </c>
      <c r="N369" s="43">
        <f t="shared" si="136"/>
        <v>0</v>
      </c>
      <c r="O369" s="183">
        <v>144420.44</v>
      </c>
      <c r="P369" s="183">
        <v>144420.44</v>
      </c>
      <c r="Q369" s="183">
        <v>144420.44</v>
      </c>
      <c r="R369" s="472">
        <f t="shared" si="139"/>
        <v>0</v>
      </c>
      <c r="S369" s="472">
        <f t="shared" si="140"/>
        <v>0</v>
      </c>
      <c r="T369" s="472">
        <f t="shared" si="141"/>
        <v>0</v>
      </c>
      <c r="U369" s="182" t="s">
        <v>1151</v>
      </c>
      <c r="V369" s="36" t="s">
        <v>102</v>
      </c>
      <c r="W369" s="37" t="s">
        <v>104</v>
      </c>
      <c r="X369" s="37" t="s">
        <v>99</v>
      </c>
      <c r="Y369" s="37" t="s">
        <v>1150</v>
      </c>
      <c r="Z369" s="37" t="s">
        <v>90</v>
      </c>
      <c r="AA369" s="12" t="b">
        <f t="shared" si="143"/>
        <v>1</v>
      </c>
      <c r="AB369" s="12" t="b">
        <f t="shared" si="144"/>
        <v>1</v>
      </c>
      <c r="AC369" s="12" t="b">
        <f t="shared" si="145"/>
        <v>1</v>
      </c>
      <c r="AD369" s="12" t="b">
        <f t="shared" si="146"/>
        <v>1</v>
      </c>
      <c r="AE369" s="12" t="b">
        <f t="shared" si="147"/>
        <v>1</v>
      </c>
      <c r="AF369" s="12" t="b">
        <f t="shared" si="148"/>
        <v>1</v>
      </c>
    </row>
    <row r="370" spans="1:32" s="44" customFormat="1" ht="17.25" customHeight="1">
      <c r="A370" s="285"/>
      <c r="B370" s="23" t="s">
        <v>132</v>
      </c>
      <c r="C370" s="36" t="s">
        <v>102</v>
      </c>
      <c r="D370" s="37" t="s">
        <v>104</v>
      </c>
      <c r="E370" s="37" t="s">
        <v>99</v>
      </c>
      <c r="F370" s="37" t="s">
        <v>1150</v>
      </c>
      <c r="G370" s="37" t="s">
        <v>171</v>
      </c>
      <c r="H370" s="183">
        <v>132077.48000000001</v>
      </c>
      <c r="I370" s="183">
        <v>132077.48000000001</v>
      </c>
      <c r="J370" s="183">
        <v>132077.48000000001</v>
      </c>
      <c r="K370" s="183">
        <v>132077.48000000001</v>
      </c>
      <c r="L370" s="183">
        <v>132077.48000000001</v>
      </c>
      <c r="M370" s="183">
        <v>132077.48000000001</v>
      </c>
      <c r="N370" s="43">
        <f t="shared" si="136"/>
        <v>0</v>
      </c>
      <c r="O370" s="183">
        <v>132077.48000000001</v>
      </c>
      <c r="P370" s="183">
        <v>132077.48000000001</v>
      </c>
      <c r="Q370" s="183">
        <v>132077.48000000001</v>
      </c>
      <c r="R370" s="472">
        <f t="shared" si="139"/>
        <v>0</v>
      </c>
      <c r="S370" s="472">
        <f t="shared" si="140"/>
        <v>0</v>
      </c>
      <c r="T370" s="472">
        <f t="shared" si="141"/>
        <v>0</v>
      </c>
      <c r="U370" s="23" t="s">
        <v>132</v>
      </c>
      <c r="V370" s="36" t="s">
        <v>102</v>
      </c>
      <c r="W370" s="37" t="s">
        <v>104</v>
      </c>
      <c r="X370" s="37" t="s">
        <v>99</v>
      </c>
      <c r="Y370" s="37" t="s">
        <v>1150</v>
      </c>
      <c r="Z370" s="37" t="s">
        <v>171</v>
      </c>
      <c r="AA370" s="12" t="b">
        <f t="shared" si="143"/>
        <v>1</v>
      </c>
      <c r="AB370" s="12" t="b">
        <f t="shared" si="144"/>
        <v>1</v>
      </c>
      <c r="AC370" s="12" t="b">
        <f t="shared" si="145"/>
        <v>1</v>
      </c>
      <c r="AD370" s="12" t="b">
        <f t="shared" si="146"/>
        <v>1</v>
      </c>
      <c r="AE370" s="12" t="b">
        <f t="shared" si="147"/>
        <v>1</v>
      </c>
      <c r="AF370" s="12" t="b">
        <f t="shared" si="148"/>
        <v>1</v>
      </c>
    </row>
    <row r="371" spans="1:32" s="44" customFormat="1" ht="17.25" customHeight="1">
      <c r="A371" s="285"/>
      <c r="B371" s="23" t="s">
        <v>133</v>
      </c>
      <c r="C371" s="36" t="s">
        <v>102</v>
      </c>
      <c r="D371" s="37" t="s">
        <v>104</v>
      </c>
      <c r="E371" s="37" t="s">
        <v>99</v>
      </c>
      <c r="F371" s="37" t="s">
        <v>1150</v>
      </c>
      <c r="G371" s="37" t="s">
        <v>19</v>
      </c>
      <c r="H371" s="183">
        <v>12342.96</v>
      </c>
      <c r="I371" s="183">
        <v>12342.96</v>
      </c>
      <c r="J371" s="183">
        <v>12342.96</v>
      </c>
      <c r="K371" s="183">
        <v>12342.96</v>
      </c>
      <c r="L371" s="183">
        <v>12342.96</v>
      </c>
      <c r="M371" s="183">
        <v>12342.96</v>
      </c>
      <c r="N371" s="43">
        <f t="shared" si="136"/>
        <v>0</v>
      </c>
      <c r="O371" s="183">
        <v>12342.96</v>
      </c>
      <c r="P371" s="183">
        <v>12342.96</v>
      </c>
      <c r="Q371" s="183">
        <v>12342.96</v>
      </c>
      <c r="R371" s="472">
        <f t="shared" si="139"/>
        <v>0</v>
      </c>
      <c r="S371" s="472">
        <f t="shared" si="140"/>
        <v>0</v>
      </c>
      <c r="T371" s="472">
        <f t="shared" si="141"/>
        <v>0</v>
      </c>
      <c r="U371" s="23" t="s">
        <v>133</v>
      </c>
      <c r="V371" s="36" t="s">
        <v>102</v>
      </c>
      <c r="W371" s="37" t="s">
        <v>104</v>
      </c>
      <c r="X371" s="37" t="s">
        <v>99</v>
      </c>
      <c r="Y371" s="37" t="s">
        <v>1150</v>
      </c>
      <c r="Z371" s="37" t="s">
        <v>19</v>
      </c>
      <c r="AA371" s="12" t="b">
        <f t="shared" si="143"/>
        <v>1</v>
      </c>
      <c r="AB371" s="12" t="b">
        <f t="shared" si="144"/>
        <v>1</v>
      </c>
      <c r="AC371" s="12" t="b">
        <f t="shared" si="145"/>
        <v>1</v>
      </c>
      <c r="AD371" s="12" t="b">
        <f t="shared" si="146"/>
        <v>1</v>
      </c>
      <c r="AE371" s="12" t="b">
        <f t="shared" si="147"/>
        <v>1</v>
      </c>
      <c r="AF371" s="12" t="b">
        <f t="shared" si="148"/>
        <v>1</v>
      </c>
    </row>
    <row r="372" spans="1:32" s="44" customFormat="1" ht="17.25" customHeight="1">
      <c r="A372" s="285"/>
      <c r="B372" s="182" t="s">
        <v>541</v>
      </c>
      <c r="C372" s="36" t="s">
        <v>102</v>
      </c>
      <c r="D372" s="37" t="s">
        <v>104</v>
      </c>
      <c r="E372" s="37" t="s">
        <v>99</v>
      </c>
      <c r="F372" s="37" t="s">
        <v>321</v>
      </c>
      <c r="G372" s="37" t="s">
        <v>90</v>
      </c>
      <c r="H372" s="183">
        <f>H373+H376+H378</f>
        <v>2024242.73</v>
      </c>
      <c r="I372" s="183">
        <f>I373+I376+I378</f>
        <v>588042.29</v>
      </c>
      <c r="J372" s="183">
        <f>J373+J376+J378</f>
        <v>594954.94000000006</v>
      </c>
      <c r="K372" s="183">
        <v>1836288.27</v>
      </c>
      <c r="L372" s="183">
        <v>5612.73</v>
      </c>
      <c r="M372" s="183">
        <v>0</v>
      </c>
      <c r="N372" s="43">
        <f t="shared" si="136"/>
        <v>-594954.94000000006</v>
      </c>
      <c r="O372" s="183">
        <v>1836288.27</v>
      </c>
      <c r="P372" s="183">
        <v>5612.73</v>
      </c>
      <c r="Q372" s="183">
        <v>5612.73</v>
      </c>
      <c r="R372" s="472">
        <f t="shared" si="139"/>
        <v>187954.45999999996</v>
      </c>
      <c r="S372" s="472">
        <f t="shared" si="140"/>
        <v>582429.56000000006</v>
      </c>
      <c r="T372" s="472">
        <f t="shared" si="141"/>
        <v>589342.21000000008</v>
      </c>
      <c r="U372" s="182" t="s">
        <v>541</v>
      </c>
      <c r="V372" s="36" t="s">
        <v>102</v>
      </c>
      <c r="W372" s="37" t="s">
        <v>104</v>
      </c>
      <c r="X372" s="37" t="s">
        <v>99</v>
      </c>
      <c r="Y372" s="37" t="s">
        <v>321</v>
      </c>
      <c r="Z372" s="37" t="s">
        <v>90</v>
      </c>
      <c r="AA372" s="12" t="b">
        <f t="shared" si="143"/>
        <v>1</v>
      </c>
      <c r="AB372" s="12" t="b">
        <f t="shared" si="144"/>
        <v>1</v>
      </c>
      <c r="AC372" s="12" t="b">
        <f t="shared" si="145"/>
        <v>1</v>
      </c>
      <c r="AD372" s="12" t="b">
        <f t="shared" si="146"/>
        <v>1</v>
      </c>
      <c r="AE372" s="12" t="b">
        <f t="shared" si="147"/>
        <v>1</v>
      </c>
      <c r="AF372" s="12" t="b">
        <f t="shared" si="148"/>
        <v>1</v>
      </c>
    </row>
    <row r="373" spans="1:32" s="44" customFormat="1" ht="17.25" customHeight="1">
      <c r="A373" s="285"/>
      <c r="B373" s="23" t="s">
        <v>254</v>
      </c>
      <c r="C373" s="36" t="s">
        <v>102</v>
      </c>
      <c r="D373" s="37" t="s">
        <v>104</v>
      </c>
      <c r="E373" s="37" t="s">
        <v>99</v>
      </c>
      <c r="F373" s="37" t="s">
        <v>322</v>
      </c>
      <c r="G373" s="37" t="s">
        <v>90</v>
      </c>
      <c r="H373" s="183">
        <f>H374+H375</f>
        <v>5612.73</v>
      </c>
      <c r="I373" s="183">
        <f>I374+I375</f>
        <v>5612.73</v>
      </c>
      <c r="J373" s="183">
        <f>J374+J375</f>
        <v>0</v>
      </c>
      <c r="K373" s="183">
        <v>7288.48</v>
      </c>
      <c r="L373" s="183">
        <v>5612.73</v>
      </c>
      <c r="M373" s="183">
        <v>0</v>
      </c>
      <c r="N373" s="43">
        <f t="shared" si="136"/>
        <v>0</v>
      </c>
      <c r="O373" s="183">
        <v>7288.48</v>
      </c>
      <c r="P373" s="183">
        <v>5612.73</v>
      </c>
      <c r="Q373" s="183">
        <v>5612.73</v>
      </c>
      <c r="R373" s="472">
        <f t="shared" si="139"/>
        <v>-1675.75</v>
      </c>
      <c r="S373" s="472">
        <f t="shared" si="140"/>
        <v>0</v>
      </c>
      <c r="T373" s="472">
        <f t="shared" si="141"/>
        <v>-5612.73</v>
      </c>
      <c r="U373" s="23" t="s">
        <v>254</v>
      </c>
      <c r="V373" s="36" t="s">
        <v>102</v>
      </c>
      <c r="W373" s="37" t="s">
        <v>104</v>
      </c>
      <c r="X373" s="37" t="s">
        <v>99</v>
      </c>
      <c r="Y373" s="37" t="s">
        <v>322</v>
      </c>
      <c r="Z373" s="37" t="s">
        <v>90</v>
      </c>
      <c r="AA373" s="12" t="b">
        <f t="shared" si="143"/>
        <v>1</v>
      </c>
      <c r="AB373" s="12" t="b">
        <f t="shared" si="144"/>
        <v>1</v>
      </c>
      <c r="AC373" s="12" t="b">
        <f t="shared" si="145"/>
        <v>1</v>
      </c>
      <c r="AD373" s="12" t="b">
        <f t="shared" si="146"/>
        <v>1</v>
      </c>
      <c r="AE373" s="12" t="b">
        <f t="shared" si="147"/>
        <v>1</v>
      </c>
      <c r="AF373" s="12" t="b">
        <f t="shared" si="148"/>
        <v>1</v>
      </c>
    </row>
    <row r="374" spans="1:32" s="44" customFormat="1" ht="17.25" customHeight="1">
      <c r="A374" s="285"/>
      <c r="B374" s="65" t="s">
        <v>132</v>
      </c>
      <c r="C374" s="56" t="s">
        <v>102</v>
      </c>
      <c r="D374" s="57" t="s">
        <v>104</v>
      </c>
      <c r="E374" s="57" t="s">
        <v>99</v>
      </c>
      <c r="F374" s="57" t="s">
        <v>322</v>
      </c>
      <c r="G374" s="57" t="s">
        <v>171</v>
      </c>
      <c r="H374" s="58">
        <f>4931.04+1675.75-1675.75</f>
        <v>4931.04</v>
      </c>
      <c r="I374" s="58">
        <f>4931.04</f>
        <v>4931.04</v>
      </c>
      <c r="J374" s="58">
        <f>4931.04-4931.04</f>
        <v>0</v>
      </c>
      <c r="K374" s="58">
        <v>6606.79</v>
      </c>
      <c r="L374" s="58">
        <v>4931.04</v>
      </c>
      <c r="M374" s="58">
        <v>0</v>
      </c>
      <c r="N374" s="43">
        <f t="shared" si="136"/>
        <v>0</v>
      </c>
      <c r="O374" s="58">
        <v>6606.79</v>
      </c>
      <c r="P374" s="58">
        <v>4931.04</v>
      </c>
      <c r="Q374" s="58">
        <v>4931.04</v>
      </c>
      <c r="R374" s="472">
        <f t="shared" si="139"/>
        <v>-1675.75</v>
      </c>
      <c r="S374" s="472">
        <f t="shared" si="140"/>
        <v>0</v>
      </c>
      <c r="T374" s="472">
        <f t="shared" si="141"/>
        <v>-4931.04</v>
      </c>
      <c r="U374" s="65" t="s">
        <v>132</v>
      </c>
      <c r="V374" s="56" t="s">
        <v>102</v>
      </c>
      <c r="W374" s="57" t="s">
        <v>104</v>
      </c>
      <c r="X374" s="57" t="s">
        <v>99</v>
      </c>
      <c r="Y374" s="57" t="s">
        <v>322</v>
      </c>
      <c r="Z374" s="57" t="s">
        <v>171</v>
      </c>
      <c r="AA374" s="12" t="b">
        <f t="shared" si="143"/>
        <v>1</v>
      </c>
      <c r="AB374" s="12" t="b">
        <f t="shared" si="144"/>
        <v>1</v>
      </c>
      <c r="AC374" s="12" t="b">
        <f t="shared" si="145"/>
        <v>1</v>
      </c>
      <c r="AD374" s="12" t="b">
        <f t="shared" si="146"/>
        <v>1</v>
      </c>
      <c r="AE374" s="12" t="b">
        <f t="shared" si="147"/>
        <v>1</v>
      </c>
      <c r="AF374" s="12" t="b">
        <f t="shared" si="148"/>
        <v>1</v>
      </c>
    </row>
    <row r="375" spans="1:32" s="44" customFormat="1" ht="17.25" customHeight="1">
      <c r="A375" s="285"/>
      <c r="B375" s="23" t="s">
        <v>133</v>
      </c>
      <c r="C375" s="36" t="s">
        <v>102</v>
      </c>
      <c r="D375" s="37" t="s">
        <v>104</v>
      </c>
      <c r="E375" s="37" t="s">
        <v>99</v>
      </c>
      <c r="F375" s="37" t="s">
        <v>322</v>
      </c>
      <c r="G375" s="37" t="s">
        <v>19</v>
      </c>
      <c r="H375" s="183">
        <v>681.69</v>
      </c>
      <c r="I375" s="183">
        <v>681.69</v>
      </c>
      <c r="J375" s="183">
        <f>681.69-681.69</f>
        <v>0</v>
      </c>
      <c r="K375" s="183">
        <v>681.69</v>
      </c>
      <c r="L375" s="183">
        <v>681.69</v>
      </c>
      <c r="M375" s="183">
        <v>0</v>
      </c>
      <c r="N375" s="43">
        <f t="shared" si="136"/>
        <v>0</v>
      </c>
      <c r="O375" s="183">
        <v>681.69</v>
      </c>
      <c r="P375" s="183">
        <v>681.69</v>
      </c>
      <c r="Q375" s="183">
        <v>681.69</v>
      </c>
      <c r="R375" s="472">
        <f t="shared" si="139"/>
        <v>0</v>
      </c>
      <c r="S375" s="472">
        <f t="shared" si="140"/>
        <v>0</v>
      </c>
      <c r="T375" s="472">
        <f t="shared" si="141"/>
        <v>-681.69</v>
      </c>
      <c r="U375" s="23" t="s">
        <v>133</v>
      </c>
      <c r="V375" s="36" t="s">
        <v>102</v>
      </c>
      <c r="W375" s="37" t="s">
        <v>104</v>
      </c>
      <c r="X375" s="37" t="s">
        <v>99</v>
      </c>
      <c r="Y375" s="37" t="s">
        <v>322</v>
      </c>
      <c r="Z375" s="37" t="s">
        <v>19</v>
      </c>
      <c r="AA375" s="12" t="b">
        <f t="shared" si="143"/>
        <v>1</v>
      </c>
      <c r="AB375" s="12" t="b">
        <f t="shared" si="144"/>
        <v>1</v>
      </c>
      <c r="AC375" s="12" t="b">
        <f t="shared" si="145"/>
        <v>1</v>
      </c>
      <c r="AD375" s="12" t="b">
        <f t="shared" si="146"/>
        <v>1</v>
      </c>
      <c r="AE375" s="12" t="b">
        <f t="shared" si="147"/>
        <v>1</v>
      </c>
      <c r="AF375" s="12" t="b">
        <f t="shared" si="148"/>
        <v>1</v>
      </c>
    </row>
    <row r="376" spans="1:32" s="44" customFormat="1" ht="17.25" customHeight="1">
      <c r="A376" s="285"/>
      <c r="B376" s="182" t="s">
        <v>1085</v>
      </c>
      <c r="C376" s="36" t="s">
        <v>102</v>
      </c>
      <c r="D376" s="37" t="s">
        <v>104</v>
      </c>
      <c r="E376" s="37" t="s">
        <v>99</v>
      </c>
      <c r="F376" s="37" t="s">
        <v>1118</v>
      </c>
      <c r="G376" s="37" t="s">
        <v>90</v>
      </c>
      <c r="H376" s="183">
        <f>H377</f>
        <v>1395808.3</v>
      </c>
      <c r="I376" s="183">
        <f t="shared" ref="I376:J376" si="155">I377</f>
        <v>582429.56000000006</v>
      </c>
      <c r="J376" s="183">
        <f t="shared" si="155"/>
        <v>594954.94000000006</v>
      </c>
      <c r="K376" s="183">
        <v>1242182.51</v>
      </c>
      <c r="L376" s="183">
        <v>0</v>
      </c>
      <c r="M376" s="183">
        <v>0</v>
      </c>
      <c r="N376" s="43">
        <f t="shared" si="136"/>
        <v>-594954.94000000006</v>
      </c>
      <c r="O376" s="183">
        <v>1242182.51</v>
      </c>
      <c r="P376" s="183">
        <v>0</v>
      </c>
      <c r="Q376" s="183">
        <v>0</v>
      </c>
      <c r="R376" s="472">
        <f t="shared" si="139"/>
        <v>153625.79000000004</v>
      </c>
      <c r="S376" s="472">
        <f t="shared" si="140"/>
        <v>582429.56000000006</v>
      </c>
      <c r="T376" s="472">
        <f t="shared" si="141"/>
        <v>594954.94000000006</v>
      </c>
      <c r="U376" s="182" t="s">
        <v>1085</v>
      </c>
      <c r="V376" s="36" t="s">
        <v>102</v>
      </c>
      <c r="W376" s="37" t="s">
        <v>104</v>
      </c>
      <c r="X376" s="37" t="s">
        <v>99</v>
      </c>
      <c r="Y376" s="37" t="s">
        <v>1118</v>
      </c>
      <c r="Z376" s="37" t="s">
        <v>90</v>
      </c>
      <c r="AA376" s="12" t="b">
        <f t="shared" si="143"/>
        <v>1</v>
      </c>
      <c r="AB376" s="12" t="b">
        <f t="shared" si="144"/>
        <v>1</v>
      </c>
      <c r="AC376" s="12" t="b">
        <f t="shared" si="145"/>
        <v>1</v>
      </c>
      <c r="AD376" s="12" t="b">
        <f t="shared" si="146"/>
        <v>1</v>
      </c>
      <c r="AE376" s="12" t="b">
        <f t="shared" si="147"/>
        <v>1</v>
      </c>
      <c r="AF376" s="12" t="b">
        <f t="shared" si="148"/>
        <v>1</v>
      </c>
    </row>
    <row r="377" spans="1:32" s="44" customFormat="1" ht="17.25" customHeight="1">
      <c r="A377" s="285"/>
      <c r="B377" s="23" t="s">
        <v>132</v>
      </c>
      <c r="C377" s="36" t="s">
        <v>102</v>
      </c>
      <c r="D377" s="37" t="s">
        <v>104</v>
      </c>
      <c r="E377" s="37" t="s">
        <v>99</v>
      </c>
      <c r="F377" s="37" t="s">
        <v>1118</v>
      </c>
      <c r="G377" s="37" t="s">
        <v>171</v>
      </c>
      <c r="H377" s="183">
        <f>1242182.51+152089.54+1536.25</f>
        <v>1395808.3</v>
      </c>
      <c r="I377" s="183">
        <f>576605.26+5824.3</f>
        <v>582429.56000000006</v>
      </c>
      <c r="J377" s="183">
        <f>589005.39+5949.55</f>
        <v>594954.94000000006</v>
      </c>
      <c r="K377" s="183">
        <v>1242182.51</v>
      </c>
      <c r="L377" s="183">
        <v>0</v>
      </c>
      <c r="M377" s="183">
        <v>0</v>
      </c>
      <c r="N377" s="43">
        <f t="shared" si="136"/>
        <v>-594954.94000000006</v>
      </c>
      <c r="O377" s="183">
        <v>1242182.51</v>
      </c>
      <c r="P377" s="183">
        <v>0</v>
      </c>
      <c r="Q377" s="183">
        <v>0</v>
      </c>
      <c r="R377" s="472">
        <f t="shared" si="139"/>
        <v>153625.79000000004</v>
      </c>
      <c r="S377" s="472">
        <f t="shared" si="140"/>
        <v>582429.56000000006</v>
      </c>
      <c r="T377" s="472">
        <f t="shared" si="141"/>
        <v>594954.94000000006</v>
      </c>
      <c r="U377" s="23" t="s">
        <v>132</v>
      </c>
      <c r="V377" s="36" t="s">
        <v>102</v>
      </c>
      <c r="W377" s="37" t="s">
        <v>104</v>
      </c>
      <c r="X377" s="37" t="s">
        <v>99</v>
      </c>
      <c r="Y377" s="37" t="s">
        <v>1118</v>
      </c>
      <c r="Z377" s="37" t="s">
        <v>171</v>
      </c>
      <c r="AA377" s="12" t="b">
        <f t="shared" si="143"/>
        <v>1</v>
      </c>
      <c r="AB377" s="12" t="b">
        <f t="shared" si="144"/>
        <v>1</v>
      </c>
      <c r="AC377" s="12" t="b">
        <f t="shared" si="145"/>
        <v>1</v>
      </c>
      <c r="AD377" s="12" t="b">
        <f t="shared" si="146"/>
        <v>1</v>
      </c>
      <c r="AE377" s="12" t="b">
        <f t="shared" si="147"/>
        <v>1</v>
      </c>
      <c r="AF377" s="12" t="b">
        <f t="shared" si="148"/>
        <v>1</v>
      </c>
    </row>
    <row r="378" spans="1:32" s="44" customFormat="1" ht="17.25" customHeight="1">
      <c r="A378" s="285"/>
      <c r="B378" s="182" t="s">
        <v>1120</v>
      </c>
      <c r="C378" s="36" t="s">
        <v>102</v>
      </c>
      <c r="D378" s="37" t="s">
        <v>104</v>
      </c>
      <c r="E378" s="37" t="s">
        <v>99</v>
      </c>
      <c r="F378" s="37" t="s">
        <v>1119</v>
      </c>
      <c r="G378" s="37" t="s">
        <v>90</v>
      </c>
      <c r="H378" s="183">
        <f>H379</f>
        <v>622821.70000000007</v>
      </c>
      <c r="I378" s="183">
        <f>I379</f>
        <v>0</v>
      </c>
      <c r="J378" s="183">
        <f>J379</f>
        <v>0</v>
      </c>
      <c r="K378" s="183">
        <v>586817.28000000003</v>
      </c>
      <c r="L378" s="183">
        <v>0</v>
      </c>
      <c r="M378" s="183">
        <v>0</v>
      </c>
      <c r="N378" s="43">
        <f t="shared" si="136"/>
        <v>0</v>
      </c>
      <c r="O378" s="183">
        <v>586817.28000000003</v>
      </c>
      <c r="P378" s="183">
        <v>0</v>
      </c>
      <c r="Q378" s="183">
        <v>0</v>
      </c>
      <c r="R378" s="472">
        <f t="shared" si="139"/>
        <v>36004.420000000042</v>
      </c>
      <c r="S378" s="472">
        <f t="shared" si="140"/>
        <v>0</v>
      </c>
      <c r="T378" s="472">
        <f t="shared" si="141"/>
        <v>0</v>
      </c>
      <c r="U378" s="182" t="s">
        <v>1120</v>
      </c>
      <c r="V378" s="36" t="s">
        <v>102</v>
      </c>
      <c r="W378" s="37" t="s">
        <v>104</v>
      </c>
      <c r="X378" s="37" t="s">
        <v>99</v>
      </c>
      <c r="Y378" s="37" t="s">
        <v>1119</v>
      </c>
      <c r="Z378" s="37" t="s">
        <v>90</v>
      </c>
      <c r="AA378" s="12" t="b">
        <f t="shared" si="143"/>
        <v>1</v>
      </c>
      <c r="AB378" s="12" t="b">
        <f t="shared" si="144"/>
        <v>1</v>
      </c>
      <c r="AC378" s="12" t="b">
        <f t="shared" si="145"/>
        <v>1</v>
      </c>
      <c r="AD378" s="12" t="b">
        <f t="shared" si="146"/>
        <v>1</v>
      </c>
      <c r="AE378" s="12" t="b">
        <f t="shared" si="147"/>
        <v>1</v>
      </c>
      <c r="AF378" s="12" t="b">
        <f t="shared" si="148"/>
        <v>1</v>
      </c>
    </row>
    <row r="379" spans="1:32" s="44" customFormat="1" ht="17.25" customHeight="1">
      <c r="A379" s="285"/>
      <c r="B379" s="23" t="s">
        <v>132</v>
      </c>
      <c r="C379" s="36" t="s">
        <v>102</v>
      </c>
      <c r="D379" s="37" t="s">
        <v>104</v>
      </c>
      <c r="E379" s="37" t="s">
        <v>99</v>
      </c>
      <c r="F379" s="37" t="s">
        <v>1119</v>
      </c>
      <c r="G379" s="37" t="s">
        <v>171</v>
      </c>
      <c r="H379" s="183">
        <f>586817.28+35644.37+360.05</f>
        <v>622821.70000000007</v>
      </c>
      <c r="I379" s="183">
        <v>0</v>
      </c>
      <c r="J379" s="183">
        <v>0</v>
      </c>
      <c r="K379" s="183">
        <v>586817.28000000003</v>
      </c>
      <c r="L379" s="183">
        <v>0</v>
      </c>
      <c r="M379" s="183">
        <v>0</v>
      </c>
      <c r="N379" s="43">
        <f t="shared" si="136"/>
        <v>0</v>
      </c>
      <c r="O379" s="183">
        <v>586817.28000000003</v>
      </c>
      <c r="P379" s="183">
        <v>0</v>
      </c>
      <c r="Q379" s="183">
        <v>0</v>
      </c>
      <c r="R379" s="472">
        <f t="shared" ref="R379:R446" si="156">H379-O379</f>
        <v>36004.420000000042</v>
      </c>
      <c r="S379" s="472">
        <f t="shared" ref="S379:S446" si="157">I379-P379</f>
        <v>0</v>
      </c>
      <c r="T379" s="472">
        <f t="shared" ref="T379:T446" si="158">J379-Q379</f>
        <v>0</v>
      </c>
      <c r="U379" s="23" t="s">
        <v>132</v>
      </c>
      <c r="V379" s="36" t="s">
        <v>102</v>
      </c>
      <c r="W379" s="37" t="s">
        <v>104</v>
      </c>
      <c r="X379" s="37" t="s">
        <v>99</v>
      </c>
      <c r="Y379" s="37" t="s">
        <v>1119</v>
      </c>
      <c r="Z379" s="37" t="s">
        <v>171</v>
      </c>
      <c r="AA379" s="12" t="b">
        <f t="shared" ref="AA379:AA447" si="159">B379=U379</f>
        <v>1</v>
      </c>
      <c r="AB379" s="12" t="b">
        <f t="shared" ref="AB379:AB447" si="160">C379=V379</f>
        <v>1</v>
      </c>
      <c r="AC379" s="12" t="b">
        <f t="shared" ref="AC379:AC447" si="161">D379=W379</f>
        <v>1</v>
      </c>
      <c r="AD379" s="12" t="b">
        <f t="shared" ref="AD379:AD447" si="162">E379=X379</f>
        <v>1</v>
      </c>
      <c r="AE379" s="12" t="b">
        <f t="shared" ref="AE379:AE447" si="163">F379=Y379</f>
        <v>1</v>
      </c>
      <c r="AF379" s="12" t="b">
        <f t="shared" ref="AF379:AF447" si="164">G379=Z379</f>
        <v>1</v>
      </c>
    </row>
    <row r="380" spans="1:32" s="44" customFormat="1" ht="17.25" customHeight="1">
      <c r="A380" s="285"/>
      <c r="B380" s="535" t="s">
        <v>1278</v>
      </c>
      <c r="C380" s="536" t="s">
        <v>102</v>
      </c>
      <c r="D380" s="537" t="s">
        <v>104</v>
      </c>
      <c r="E380" s="537" t="s">
        <v>99</v>
      </c>
      <c r="F380" s="537" t="s">
        <v>1275</v>
      </c>
      <c r="G380" s="537" t="s">
        <v>90</v>
      </c>
      <c r="H380" s="183">
        <f>H381</f>
        <v>0</v>
      </c>
      <c r="I380" s="183">
        <f t="shared" ref="I380:I381" si="165">I381</f>
        <v>22231.89</v>
      </c>
      <c r="J380" s="183">
        <f t="shared" ref="J380:J381" si="166">J381</f>
        <v>0</v>
      </c>
      <c r="K380" s="183"/>
      <c r="L380" s="183"/>
      <c r="M380" s="183"/>
      <c r="N380" s="43">
        <f t="shared" si="136"/>
        <v>0</v>
      </c>
      <c r="O380" s="183"/>
      <c r="P380" s="183"/>
      <c r="Q380" s="183"/>
      <c r="R380" s="472"/>
      <c r="S380" s="472"/>
      <c r="T380" s="472"/>
      <c r="U380" s="23"/>
      <c r="V380" s="36"/>
      <c r="W380" s="37"/>
      <c r="X380" s="37"/>
      <c r="Y380" s="37"/>
      <c r="Z380" s="37"/>
      <c r="AA380" s="12"/>
      <c r="AB380" s="12"/>
      <c r="AC380" s="12"/>
      <c r="AD380" s="12"/>
      <c r="AE380" s="12"/>
      <c r="AF380" s="12"/>
    </row>
    <row r="381" spans="1:32" s="44" customFormat="1" ht="17.25" customHeight="1">
      <c r="A381" s="285"/>
      <c r="B381" s="23" t="s">
        <v>1277</v>
      </c>
      <c r="C381" s="36" t="s">
        <v>102</v>
      </c>
      <c r="D381" s="37" t="s">
        <v>104</v>
      </c>
      <c r="E381" s="37" t="s">
        <v>99</v>
      </c>
      <c r="F381" s="37" t="s">
        <v>1276</v>
      </c>
      <c r="G381" s="37" t="s">
        <v>90</v>
      </c>
      <c r="H381" s="183">
        <f>H382</f>
        <v>0</v>
      </c>
      <c r="I381" s="183">
        <f t="shared" si="165"/>
        <v>22231.89</v>
      </c>
      <c r="J381" s="183">
        <f t="shared" si="166"/>
        <v>0</v>
      </c>
      <c r="K381" s="183"/>
      <c r="L381" s="183"/>
      <c r="M381" s="183"/>
      <c r="N381" s="43">
        <f t="shared" si="136"/>
        <v>0</v>
      </c>
      <c r="O381" s="183"/>
      <c r="P381" s="183"/>
      <c r="Q381" s="183"/>
      <c r="R381" s="472"/>
      <c r="S381" s="472"/>
      <c r="T381" s="472"/>
      <c r="U381" s="23"/>
      <c r="V381" s="36"/>
      <c r="W381" s="37"/>
      <c r="X381" s="37"/>
      <c r="Y381" s="37"/>
      <c r="Z381" s="37"/>
      <c r="AA381" s="12"/>
      <c r="AB381" s="12"/>
      <c r="AC381" s="12"/>
      <c r="AD381" s="12"/>
      <c r="AE381" s="12"/>
      <c r="AF381" s="12"/>
    </row>
    <row r="382" spans="1:32" s="44" customFormat="1" ht="17.25" customHeight="1">
      <c r="A382" s="285"/>
      <c r="B382" s="65" t="s">
        <v>132</v>
      </c>
      <c r="C382" s="36" t="s">
        <v>102</v>
      </c>
      <c r="D382" s="37" t="s">
        <v>104</v>
      </c>
      <c r="E382" s="37" t="s">
        <v>99</v>
      </c>
      <c r="F382" s="37" t="s">
        <v>1276</v>
      </c>
      <c r="G382" s="37" t="s">
        <v>171</v>
      </c>
      <c r="H382" s="183">
        <v>0</v>
      </c>
      <c r="I382" s="183">
        <f>21120.3+1111.59</f>
        <v>22231.89</v>
      </c>
      <c r="J382" s="183">
        <v>0</v>
      </c>
      <c r="K382" s="183"/>
      <c r="L382" s="183"/>
      <c r="M382" s="183"/>
      <c r="N382" s="43">
        <f t="shared" si="136"/>
        <v>0</v>
      </c>
      <c r="O382" s="183"/>
      <c r="P382" s="183"/>
      <c r="Q382" s="183"/>
      <c r="R382" s="472"/>
      <c r="S382" s="472"/>
      <c r="T382" s="472"/>
      <c r="U382" s="23"/>
      <c r="V382" s="36"/>
      <c r="W382" s="37"/>
      <c r="X382" s="37"/>
      <c r="Y382" s="37"/>
      <c r="Z382" s="37"/>
      <c r="AA382" s="12"/>
      <c r="AB382" s="12"/>
      <c r="AC382" s="12"/>
      <c r="AD382" s="12"/>
      <c r="AE382" s="12"/>
      <c r="AF382" s="12"/>
    </row>
    <row r="383" spans="1:32" s="44" customFormat="1" ht="17.25" customHeight="1">
      <c r="A383" s="285"/>
      <c r="B383" s="535" t="s">
        <v>1272</v>
      </c>
      <c r="C383" s="536" t="s">
        <v>102</v>
      </c>
      <c r="D383" s="537" t="s">
        <v>104</v>
      </c>
      <c r="E383" s="537" t="s">
        <v>99</v>
      </c>
      <c r="F383" s="537" t="s">
        <v>1271</v>
      </c>
      <c r="G383" s="537" t="s">
        <v>90</v>
      </c>
      <c r="H383" s="183">
        <f>H384</f>
        <v>9337.14</v>
      </c>
      <c r="I383" s="183">
        <f t="shared" ref="I383:J383" si="167">I384</f>
        <v>9337.14</v>
      </c>
      <c r="J383" s="183">
        <f t="shared" si="167"/>
        <v>9337.14</v>
      </c>
      <c r="K383" s="183"/>
      <c r="L383" s="183"/>
      <c r="M383" s="183"/>
      <c r="N383" s="43">
        <f t="shared" ref="N383:N437" si="168">M383-J383</f>
        <v>-9337.14</v>
      </c>
      <c r="O383" s="183"/>
      <c r="P383" s="183"/>
      <c r="Q383" s="183"/>
      <c r="R383" s="472"/>
      <c r="S383" s="472"/>
      <c r="T383" s="472"/>
      <c r="U383" s="23"/>
      <c r="V383" s="36"/>
      <c r="W383" s="37"/>
      <c r="X383" s="37"/>
      <c r="Y383" s="37"/>
      <c r="Z383" s="37"/>
      <c r="AA383" s="12"/>
      <c r="AB383" s="12"/>
      <c r="AC383" s="12"/>
      <c r="AD383" s="12"/>
      <c r="AE383" s="12"/>
      <c r="AF383" s="12"/>
    </row>
    <row r="384" spans="1:32" s="44" customFormat="1" ht="17.25" customHeight="1">
      <c r="A384" s="285"/>
      <c r="B384" s="23" t="s">
        <v>1273</v>
      </c>
      <c r="C384" s="36" t="s">
        <v>102</v>
      </c>
      <c r="D384" s="37" t="s">
        <v>104</v>
      </c>
      <c r="E384" s="37" t="s">
        <v>99</v>
      </c>
      <c r="F384" s="37" t="s">
        <v>1274</v>
      </c>
      <c r="G384" s="37" t="s">
        <v>90</v>
      </c>
      <c r="H384" s="183">
        <f>H385+H386</f>
        <v>9337.14</v>
      </c>
      <c r="I384" s="183">
        <f t="shared" ref="I384:J384" si="169">I385+I386</f>
        <v>9337.14</v>
      </c>
      <c r="J384" s="183">
        <f t="shared" si="169"/>
        <v>9337.14</v>
      </c>
      <c r="K384" s="183"/>
      <c r="L384" s="183"/>
      <c r="M384" s="183"/>
      <c r="N384" s="43">
        <f t="shared" si="168"/>
        <v>-9337.14</v>
      </c>
      <c r="O384" s="183"/>
      <c r="P384" s="183"/>
      <c r="Q384" s="183"/>
      <c r="R384" s="472"/>
      <c r="S384" s="472"/>
      <c r="T384" s="472"/>
      <c r="U384" s="23"/>
      <c r="V384" s="36"/>
      <c r="W384" s="37"/>
      <c r="X384" s="37"/>
      <c r="Y384" s="37"/>
      <c r="Z384" s="37"/>
      <c r="AA384" s="12"/>
      <c r="AB384" s="12"/>
      <c r="AC384" s="12"/>
      <c r="AD384" s="12"/>
      <c r="AE384" s="12"/>
      <c r="AF384" s="12"/>
    </row>
    <row r="385" spans="1:32" s="44" customFormat="1" ht="17.25" customHeight="1">
      <c r="A385" s="285"/>
      <c r="B385" s="65" t="s">
        <v>132</v>
      </c>
      <c r="C385" s="36" t="s">
        <v>102</v>
      </c>
      <c r="D385" s="37" t="s">
        <v>104</v>
      </c>
      <c r="E385" s="37" t="s">
        <v>99</v>
      </c>
      <c r="F385" s="37" t="s">
        <v>1274</v>
      </c>
      <c r="G385" s="37" t="s">
        <v>171</v>
      </c>
      <c r="H385" s="183">
        <v>8577.14</v>
      </c>
      <c r="I385" s="183">
        <v>8577.14</v>
      </c>
      <c r="J385" s="183">
        <v>8577.14</v>
      </c>
      <c r="K385" s="183"/>
      <c r="L385" s="183"/>
      <c r="M385" s="183"/>
      <c r="N385" s="43">
        <f t="shared" si="168"/>
        <v>-8577.14</v>
      </c>
      <c r="O385" s="183"/>
      <c r="P385" s="183"/>
      <c r="Q385" s="183"/>
      <c r="R385" s="472"/>
      <c r="S385" s="472"/>
      <c r="T385" s="472"/>
      <c r="U385" s="23"/>
      <c r="V385" s="36"/>
      <c r="W385" s="37"/>
      <c r="X385" s="37"/>
      <c r="Y385" s="37"/>
      <c r="Z385" s="37"/>
      <c r="AA385" s="12"/>
      <c r="AB385" s="12"/>
      <c r="AC385" s="12"/>
      <c r="AD385" s="12"/>
      <c r="AE385" s="12"/>
      <c r="AF385" s="12"/>
    </row>
    <row r="386" spans="1:32" s="44" customFormat="1" ht="17.25" customHeight="1">
      <c r="A386" s="285"/>
      <c r="B386" s="23" t="s">
        <v>133</v>
      </c>
      <c r="C386" s="36" t="s">
        <v>102</v>
      </c>
      <c r="D386" s="37" t="s">
        <v>104</v>
      </c>
      <c r="E386" s="37" t="s">
        <v>99</v>
      </c>
      <c r="F386" s="37" t="s">
        <v>1274</v>
      </c>
      <c r="G386" s="37" t="s">
        <v>19</v>
      </c>
      <c r="H386" s="183">
        <v>760</v>
      </c>
      <c r="I386" s="183">
        <v>760</v>
      </c>
      <c r="J386" s="183">
        <v>760</v>
      </c>
      <c r="K386" s="183"/>
      <c r="L386" s="183"/>
      <c r="M386" s="183"/>
      <c r="N386" s="43">
        <f t="shared" si="168"/>
        <v>-760</v>
      </c>
      <c r="O386" s="183"/>
      <c r="P386" s="183"/>
      <c r="Q386" s="183"/>
      <c r="R386" s="472"/>
      <c r="S386" s="472"/>
      <c r="T386" s="472"/>
      <c r="U386" s="23"/>
      <c r="V386" s="36"/>
      <c r="W386" s="37"/>
      <c r="X386" s="37"/>
      <c r="Y386" s="37"/>
      <c r="Z386" s="37"/>
      <c r="AA386" s="12"/>
      <c r="AB386" s="12"/>
      <c r="AC386" s="12"/>
      <c r="AD386" s="12"/>
      <c r="AE386" s="12"/>
      <c r="AF386" s="12"/>
    </row>
    <row r="387" spans="1:32" s="44" customFormat="1" ht="17.25" customHeight="1">
      <c r="A387" s="285"/>
      <c r="B387" s="23" t="s">
        <v>1166</v>
      </c>
      <c r="C387" s="36" t="s">
        <v>102</v>
      </c>
      <c r="D387" s="37" t="s">
        <v>104</v>
      </c>
      <c r="E387" s="37" t="s">
        <v>99</v>
      </c>
      <c r="F387" s="37" t="s">
        <v>296</v>
      </c>
      <c r="G387" s="37" t="s">
        <v>90</v>
      </c>
      <c r="H387" s="183">
        <f t="shared" ref="H387:J390" si="170">H388</f>
        <v>798.55000000000007</v>
      </c>
      <c r="I387" s="183">
        <f t="shared" si="170"/>
        <v>798.55000000000007</v>
      </c>
      <c r="J387" s="183">
        <f t="shared" si="170"/>
        <v>798.55000000000007</v>
      </c>
      <c r="K387" s="183">
        <v>798.55000000000007</v>
      </c>
      <c r="L387" s="183">
        <v>798.55000000000007</v>
      </c>
      <c r="M387" s="183">
        <v>798.55000000000007</v>
      </c>
      <c r="N387" s="43">
        <f t="shared" si="168"/>
        <v>0</v>
      </c>
      <c r="O387" s="183">
        <v>798.55000000000007</v>
      </c>
      <c r="P387" s="183">
        <v>798.55000000000007</v>
      </c>
      <c r="Q387" s="183">
        <v>798.55000000000007</v>
      </c>
      <c r="R387" s="472">
        <f t="shared" si="156"/>
        <v>0</v>
      </c>
      <c r="S387" s="472">
        <f t="shared" si="157"/>
        <v>0</v>
      </c>
      <c r="T387" s="472">
        <f t="shared" si="158"/>
        <v>0</v>
      </c>
      <c r="U387" s="23" t="s">
        <v>1166</v>
      </c>
      <c r="V387" s="36" t="s">
        <v>102</v>
      </c>
      <c r="W387" s="37" t="s">
        <v>104</v>
      </c>
      <c r="X387" s="37" t="s">
        <v>99</v>
      </c>
      <c r="Y387" s="37" t="s">
        <v>296</v>
      </c>
      <c r="Z387" s="37" t="s">
        <v>90</v>
      </c>
      <c r="AA387" s="12" t="b">
        <f t="shared" si="159"/>
        <v>1</v>
      </c>
      <c r="AB387" s="12" t="b">
        <f t="shared" si="160"/>
        <v>1</v>
      </c>
      <c r="AC387" s="12" t="b">
        <f t="shared" si="161"/>
        <v>1</v>
      </c>
      <c r="AD387" s="12" t="b">
        <f t="shared" si="162"/>
        <v>1</v>
      </c>
      <c r="AE387" s="12" t="b">
        <f t="shared" si="163"/>
        <v>1</v>
      </c>
      <c r="AF387" s="12" t="b">
        <f t="shared" si="164"/>
        <v>1</v>
      </c>
    </row>
    <row r="388" spans="1:32" s="44" customFormat="1" ht="17.25" customHeight="1">
      <c r="A388" s="285"/>
      <c r="B388" s="23" t="s">
        <v>1213</v>
      </c>
      <c r="C388" s="36" t="s">
        <v>102</v>
      </c>
      <c r="D388" s="37" t="s">
        <v>104</v>
      </c>
      <c r="E388" s="37" t="s">
        <v>99</v>
      </c>
      <c r="F388" s="37" t="s">
        <v>297</v>
      </c>
      <c r="G388" s="37" t="s">
        <v>90</v>
      </c>
      <c r="H388" s="183">
        <f t="shared" si="170"/>
        <v>798.55000000000007</v>
      </c>
      <c r="I388" s="183">
        <f t="shared" si="170"/>
        <v>798.55000000000007</v>
      </c>
      <c r="J388" s="183">
        <f t="shared" si="170"/>
        <v>798.55000000000007</v>
      </c>
      <c r="K388" s="183">
        <v>798.55000000000007</v>
      </c>
      <c r="L388" s="183">
        <v>798.55000000000007</v>
      </c>
      <c r="M388" s="183">
        <v>798.55000000000007</v>
      </c>
      <c r="N388" s="43">
        <f t="shared" si="168"/>
        <v>0</v>
      </c>
      <c r="O388" s="183">
        <v>798.55000000000007</v>
      </c>
      <c r="P388" s="183">
        <v>798.55000000000007</v>
      </c>
      <c r="Q388" s="183">
        <v>798.55000000000007</v>
      </c>
      <c r="R388" s="472">
        <f t="shared" si="156"/>
        <v>0</v>
      </c>
      <c r="S388" s="472">
        <f t="shared" si="157"/>
        <v>0</v>
      </c>
      <c r="T388" s="472">
        <f t="shared" si="158"/>
        <v>0</v>
      </c>
      <c r="U388" s="494" t="s">
        <v>1213</v>
      </c>
      <c r="V388" s="36" t="s">
        <v>102</v>
      </c>
      <c r="W388" s="37" t="s">
        <v>104</v>
      </c>
      <c r="X388" s="37" t="s">
        <v>99</v>
      </c>
      <c r="Y388" s="37" t="s">
        <v>297</v>
      </c>
      <c r="Z388" s="37" t="s">
        <v>90</v>
      </c>
      <c r="AA388" s="12" t="b">
        <f t="shared" si="159"/>
        <v>1</v>
      </c>
      <c r="AB388" s="12" t="b">
        <f t="shared" si="160"/>
        <v>1</v>
      </c>
      <c r="AC388" s="12" t="b">
        <f t="shared" si="161"/>
        <v>1</v>
      </c>
      <c r="AD388" s="12" t="b">
        <f t="shared" si="162"/>
        <v>1</v>
      </c>
      <c r="AE388" s="12" t="b">
        <f t="shared" si="163"/>
        <v>1</v>
      </c>
      <c r="AF388" s="12" t="b">
        <f t="shared" si="164"/>
        <v>1</v>
      </c>
    </row>
    <row r="389" spans="1:32" s="44" customFormat="1" ht="17.25" customHeight="1">
      <c r="A389" s="285"/>
      <c r="B389" s="396" t="s">
        <v>1057</v>
      </c>
      <c r="C389" s="36" t="s">
        <v>102</v>
      </c>
      <c r="D389" s="37" t="s">
        <v>104</v>
      </c>
      <c r="E389" s="37" t="s">
        <v>99</v>
      </c>
      <c r="F389" s="37" t="s">
        <v>969</v>
      </c>
      <c r="G389" s="37" t="s">
        <v>90</v>
      </c>
      <c r="H389" s="183">
        <f t="shared" si="170"/>
        <v>798.55000000000007</v>
      </c>
      <c r="I389" s="183">
        <f t="shared" si="170"/>
        <v>798.55000000000007</v>
      </c>
      <c r="J389" s="183">
        <f t="shared" si="170"/>
        <v>798.55000000000007</v>
      </c>
      <c r="K389" s="183">
        <v>798.55000000000007</v>
      </c>
      <c r="L389" s="183">
        <v>798.55000000000007</v>
      </c>
      <c r="M389" s="183">
        <v>798.55000000000007</v>
      </c>
      <c r="N389" s="43">
        <f t="shared" si="168"/>
        <v>0</v>
      </c>
      <c r="O389" s="183">
        <v>798.55000000000007</v>
      </c>
      <c r="P389" s="183">
        <v>798.55000000000007</v>
      </c>
      <c r="Q389" s="183">
        <v>798.55000000000007</v>
      </c>
      <c r="R389" s="472">
        <f t="shared" si="156"/>
        <v>0</v>
      </c>
      <c r="S389" s="472">
        <f t="shared" si="157"/>
        <v>0</v>
      </c>
      <c r="T389" s="472">
        <f t="shared" si="158"/>
        <v>0</v>
      </c>
      <c r="U389" s="396" t="s">
        <v>1057</v>
      </c>
      <c r="V389" s="36" t="s">
        <v>102</v>
      </c>
      <c r="W389" s="37" t="s">
        <v>104</v>
      </c>
      <c r="X389" s="37" t="s">
        <v>99</v>
      </c>
      <c r="Y389" s="37" t="s">
        <v>969</v>
      </c>
      <c r="Z389" s="37" t="s">
        <v>90</v>
      </c>
      <c r="AA389" s="12" t="b">
        <f t="shared" si="159"/>
        <v>1</v>
      </c>
      <c r="AB389" s="12" t="b">
        <f t="shared" si="160"/>
        <v>1</v>
      </c>
      <c r="AC389" s="12" t="b">
        <f t="shared" si="161"/>
        <v>1</v>
      </c>
      <c r="AD389" s="12" t="b">
        <f t="shared" si="162"/>
        <v>1</v>
      </c>
      <c r="AE389" s="12" t="b">
        <f t="shared" si="163"/>
        <v>1</v>
      </c>
      <c r="AF389" s="12" t="b">
        <f t="shared" si="164"/>
        <v>1</v>
      </c>
    </row>
    <row r="390" spans="1:32" s="44" customFormat="1" ht="17.25" customHeight="1">
      <c r="A390" s="285"/>
      <c r="B390" s="396" t="s">
        <v>1058</v>
      </c>
      <c r="C390" s="36" t="s">
        <v>102</v>
      </c>
      <c r="D390" s="37" t="s">
        <v>104</v>
      </c>
      <c r="E390" s="37" t="s">
        <v>99</v>
      </c>
      <c r="F390" s="37" t="s">
        <v>970</v>
      </c>
      <c r="G390" s="37" t="s">
        <v>90</v>
      </c>
      <c r="H390" s="183">
        <f t="shared" si="170"/>
        <v>798.55000000000007</v>
      </c>
      <c r="I390" s="183">
        <f t="shared" si="170"/>
        <v>798.55000000000007</v>
      </c>
      <c r="J390" s="183">
        <f t="shared" si="170"/>
        <v>798.55000000000007</v>
      </c>
      <c r="K390" s="183">
        <v>798.55000000000007</v>
      </c>
      <c r="L390" s="183">
        <v>798.55000000000007</v>
      </c>
      <c r="M390" s="183">
        <v>798.55000000000007</v>
      </c>
      <c r="N390" s="43">
        <f t="shared" si="168"/>
        <v>0</v>
      </c>
      <c r="O390" s="183">
        <v>798.55000000000007</v>
      </c>
      <c r="P390" s="183">
        <v>798.55000000000007</v>
      </c>
      <c r="Q390" s="183">
        <v>798.55000000000007</v>
      </c>
      <c r="R390" s="472">
        <f t="shared" si="156"/>
        <v>0</v>
      </c>
      <c r="S390" s="472">
        <f t="shared" si="157"/>
        <v>0</v>
      </c>
      <c r="T390" s="472">
        <f t="shared" si="158"/>
        <v>0</v>
      </c>
      <c r="U390" s="396" t="s">
        <v>1058</v>
      </c>
      <c r="V390" s="36" t="s">
        <v>102</v>
      </c>
      <c r="W390" s="37" t="s">
        <v>104</v>
      </c>
      <c r="X390" s="37" t="s">
        <v>99</v>
      </c>
      <c r="Y390" s="37" t="s">
        <v>970</v>
      </c>
      <c r="Z390" s="37" t="s">
        <v>90</v>
      </c>
      <c r="AA390" s="12" t="b">
        <f t="shared" si="159"/>
        <v>1</v>
      </c>
      <c r="AB390" s="12" t="b">
        <f t="shared" si="160"/>
        <v>1</v>
      </c>
      <c r="AC390" s="12" t="b">
        <f t="shared" si="161"/>
        <v>1</v>
      </c>
      <c r="AD390" s="12" t="b">
        <f t="shared" si="162"/>
        <v>1</v>
      </c>
      <c r="AE390" s="12" t="b">
        <f t="shared" si="163"/>
        <v>1</v>
      </c>
      <c r="AF390" s="12" t="b">
        <f t="shared" si="164"/>
        <v>1</v>
      </c>
    </row>
    <row r="391" spans="1:32" s="44" customFormat="1" ht="17.25" customHeight="1">
      <c r="A391" s="285"/>
      <c r="B391" s="65" t="s">
        <v>132</v>
      </c>
      <c r="C391" s="56" t="s">
        <v>102</v>
      </c>
      <c r="D391" s="57" t="s">
        <v>104</v>
      </c>
      <c r="E391" s="57" t="s">
        <v>99</v>
      </c>
      <c r="F391" s="57" t="s">
        <v>970</v>
      </c>
      <c r="G391" s="57" t="s">
        <v>171</v>
      </c>
      <c r="H391" s="58">
        <f>727.22+71.33</f>
        <v>798.55000000000007</v>
      </c>
      <c r="I391" s="58">
        <f>727.22+71.33</f>
        <v>798.55000000000007</v>
      </c>
      <c r="J391" s="58">
        <f>727.22+71.33</f>
        <v>798.55000000000007</v>
      </c>
      <c r="K391" s="58">
        <v>798.55000000000007</v>
      </c>
      <c r="L391" s="58">
        <v>798.55000000000007</v>
      </c>
      <c r="M391" s="58">
        <v>798.55000000000007</v>
      </c>
      <c r="N391" s="43">
        <f t="shared" si="168"/>
        <v>0</v>
      </c>
      <c r="O391" s="58">
        <v>798.55000000000007</v>
      </c>
      <c r="P391" s="58">
        <v>798.55000000000007</v>
      </c>
      <c r="Q391" s="58">
        <v>798.55000000000007</v>
      </c>
      <c r="R391" s="472">
        <f t="shared" si="156"/>
        <v>0</v>
      </c>
      <c r="S391" s="472">
        <f t="shared" si="157"/>
        <v>0</v>
      </c>
      <c r="T391" s="472">
        <f t="shared" si="158"/>
        <v>0</v>
      </c>
      <c r="U391" s="65" t="s">
        <v>132</v>
      </c>
      <c r="V391" s="56" t="s">
        <v>102</v>
      </c>
      <c r="W391" s="57" t="s">
        <v>104</v>
      </c>
      <c r="X391" s="57" t="s">
        <v>99</v>
      </c>
      <c r="Y391" s="57" t="s">
        <v>970</v>
      </c>
      <c r="Z391" s="57" t="s">
        <v>171</v>
      </c>
      <c r="AA391" s="12" t="b">
        <f t="shared" si="159"/>
        <v>1</v>
      </c>
      <c r="AB391" s="12" t="b">
        <f t="shared" si="160"/>
        <v>1</v>
      </c>
      <c r="AC391" s="12" t="b">
        <f t="shared" si="161"/>
        <v>1</v>
      </c>
      <c r="AD391" s="12" t="b">
        <f t="shared" si="162"/>
        <v>1</v>
      </c>
      <c r="AE391" s="12" t="b">
        <f t="shared" si="163"/>
        <v>1</v>
      </c>
      <c r="AF391" s="12" t="b">
        <f t="shared" si="164"/>
        <v>1</v>
      </c>
    </row>
    <row r="392" spans="1:32" s="44" customFormat="1" ht="17.25" customHeight="1">
      <c r="A392" s="285"/>
      <c r="B392" s="22" t="s">
        <v>667</v>
      </c>
      <c r="C392" s="36" t="s">
        <v>102</v>
      </c>
      <c r="D392" s="37" t="s">
        <v>104</v>
      </c>
      <c r="E392" s="37" t="s">
        <v>99</v>
      </c>
      <c r="F392" s="37" t="s">
        <v>255</v>
      </c>
      <c r="G392" s="37" t="s">
        <v>90</v>
      </c>
      <c r="H392" s="183">
        <f>H393+H400+H405</f>
        <v>71321.109999999986</v>
      </c>
      <c r="I392" s="183">
        <f>I393+I400+I405</f>
        <v>52009.740000000005</v>
      </c>
      <c r="J392" s="183">
        <f>J393+J400+J405</f>
        <v>52009.740000000005</v>
      </c>
      <c r="K392" s="183">
        <v>50976.880000000005</v>
      </c>
      <c r="L392" s="183">
        <v>52009.740000000005</v>
      </c>
      <c r="M392" s="183">
        <v>52009.740000000005</v>
      </c>
      <c r="N392" s="43">
        <f t="shared" si="168"/>
        <v>0</v>
      </c>
      <c r="O392" s="183">
        <v>51309.83</v>
      </c>
      <c r="P392" s="183">
        <v>52009.740000000005</v>
      </c>
      <c r="Q392" s="183">
        <v>52009.740000000005</v>
      </c>
      <c r="R392" s="472">
        <f t="shared" si="156"/>
        <v>20011.279999999984</v>
      </c>
      <c r="S392" s="472">
        <f t="shared" si="157"/>
        <v>0</v>
      </c>
      <c r="T392" s="472">
        <f t="shared" si="158"/>
        <v>0</v>
      </c>
      <c r="U392" s="22" t="s">
        <v>667</v>
      </c>
      <c r="V392" s="36" t="s">
        <v>102</v>
      </c>
      <c r="W392" s="37" t="s">
        <v>104</v>
      </c>
      <c r="X392" s="37" t="s">
        <v>99</v>
      </c>
      <c r="Y392" s="37" t="s">
        <v>255</v>
      </c>
      <c r="Z392" s="37" t="s">
        <v>90</v>
      </c>
      <c r="AA392" s="12" t="b">
        <f t="shared" si="159"/>
        <v>1</v>
      </c>
      <c r="AB392" s="12" t="b">
        <f t="shared" si="160"/>
        <v>1</v>
      </c>
      <c r="AC392" s="12" t="b">
        <f t="shared" si="161"/>
        <v>1</v>
      </c>
      <c r="AD392" s="12" t="b">
        <f t="shared" si="162"/>
        <v>1</v>
      </c>
      <c r="AE392" s="12" t="b">
        <f t="shared" si="163"/>
        <v>1</v>
      </c>
      <c r="AF392" s="12" t="b">
        <f t="shared" si="164"/>
        <v>1</v>
      </c>
    </row>
    <row r="393" spans="1:32" s="44" customFormat="1" ht="17.25" customHeight="1">
      <c r="A393" s="285"/>
      <c r="B393" s="182" t="s">
        <v>814</v>
      </c>
      <c r="C393" s="36" t="s">
        <v>102</v>
      </c>
      <c r="D393" s="37" t="s">
        <v>104</v>
      </c>
      <c r="E393" s="37" t="s">
        <v>99</v>
      </c>
      <c r="F393" s="37" t="s">
        <v>256</v>
      </c>
      <c r="G393" s="37" t="s">
        <v>90</v>
      </c>
      <c r="H393" s="183">
        <f>H394</f>
        <v>66473.03</v>
      </c>
      <c r="I393" s="183">
        <f t="shared" ref="I393:J393" si="171">I394</f>
        <v>47161.66</v>
      </c>
      <c r="J393" s="183">
        <f t="shared" si="171"/>
        <v>47161.66</v>
      </c>
      <c r="K393" s="183">
        <v>46128.800000000003</v>
      </c>
      <c r="L393" s="183">
        <v>47161.66</v>
      </c>
      <c r="M393" s="183">
        <v>47161.66</v>
      </c>
      <c r="N393" s="43">
        <f t="shared" si="168"/>
        <v>0</v>
      </c>
      <c r="O393" s="183">
        <v>46461.75</v>
      </c>
      <c r="P393" s="183">
        <v>47161.66</v>
      </c>
      <c r="Q393" s="183">
        <v>47161.66</v>
      </c>
      <c r="R393" s="472">
        <f t="shared" si="156"/>
        <v>20011.28</v>
      </c>
      <c r="S393" s="472">
        <f t="shared" si="157"/>
        <v>0</v>
      </c>
      <c r="T393" s="472">
        <f t="shared" si="158"/>
        <v>0</v>
      </c>
      <c r="U393" s="182" t="s">
        <v>814</v>
      </c>
      <c r="V393" s="36" t="s">
        <v>102</v>
      </c>
      <c r="W393" s="37" t="s">
        <v>104</v>
      </c>
      <c r="X393" s="37" t="s">
        <v>99</v>
      </c>
      <c r="Y393" s="37" t="s">
        <v>256</v>
      </c>
      <c r="Z393" s="37" t="s">
        <v>90</v>
      </c>
      <c r="AA393" s="12" t="b">
        <f t="shared" si="159"/>
        <v>1</v>
      </c>
      <c r="AB393" s="12" t="b">
        <f t="shared" si="160"/>
        <v>1</v>
      </c>
      <c r="AC393" s="12" t="b">
        <f t="shared" si="161"/>
        <v>1</v>
      </c>
      <c r="AD393" s="12" t="b">
        <f t="shared" si="162"/>
        <v>1</v>
      </c>
      <c r="AE393" s="12" t="b">
        <f t="shared" si="163"/>
        <v>1</v>
      </c>
      <c r="AF393" s="12" t="b">
        <f t="shared" si="164"/>
        <v>1</v>
      </c>
    </row>
    <row r="394" spans="1:32" s="44" customFormat="1" ht="17.25" customHeight="1">
      <c r="A394" s="285"/>
      <c r="B394" s="182" t="s">
        <v>1023</v>
      </c>
      <c r="C394" s="36" t="s">
        <v>102</v>
      </c>
      <c r="D394" s="37" t="s">
        <v>104</v>
      </c>
      <c r="E394" s="37" t="s">
        <v>99</v>
      </c>
      <c r="F394" s="37" t="s">
        <v>1022</v>
      </c>
      <c r="G394" s="37" t="s">
        <v>90</v>
      </c>
      <c r="H394" s="183">
        <f>H395+H398</f>
        <v>66473.03</v>
      </c>
      <c r="I394" s="183">
        <f t="shared" ref="I394:J394" si="172">I395+I398</f>
        <v>47161.66</v>
      </c>
      <c r="J394" s="183">
        <f t="shared" si="172"/>
        <v>47161.66</v>
      </c>
      <c r="K394" s="183">
        <v>46128.800000000003</v>
      </c>
      <c r="L394" s="183">
        <v>47161.66</v>
      </c>
      <c r="M394" s="183">
        <v>47161.66</v>
      </c>
      <c r="N394" s="43">
        <f t="shared" si="168"/>
        <v>0</v>
      </c>
      <c r="O394" s="183">
        <v>46461.75</v>
      </c>
      <c r="P394" s="183">
        <v>47161.66</v>
      </c>
      <c r="Q394" s="183">
        <v>47161.66</v>
      </c>
      <c r="R394" s="472">
        <f t="shared" si="156"/>
        <v>20011.28</v>
      </c>
      <c r="S394" s="472">
        <f t="shared" si="157"/>
        <v>0</v>
      </c>
      <c r="T394" s="472">
        <f t="shared" si="158"/>
        <v>0</v>
      </c>
      <c r="U394" s="182" t="s">
        <v>1023</v>
      </c>
      <c r="V394" s="36" t="s">
        <v>102</v>
      </c>
      <c r="W394" s="37" t="s">
        <v>104</v>
      </c>
      <c r="X394" s="37" t="s">
        <v>99</v>
      </c>
      <c r="Y394" s="37" t="s">
        <v>1022</v>
      </c>
      <c r="Z394" s="37" t="s">
        <v>90</v>
      </c>
      <c r="AA394" s="12" t="b">
        <f t="shared" si="159"/>
        <v>1</v>
      </c>
      <c r="AB394" s="12" t="b">
        <f t="shared" si="160"/>
        <v>1</v>
      </c>
      <c r="AC394" s="12" t="b">
        <f t="shared" si="161"/>
        <v>1</v>
      </c>
      <c r="AD394" s="12" t="b">
        <f t="shared" si="162"/>
        <v>1</v>
      </c>
      <c r="AE394" s="12" t="b">
        <f t="shared" si="163"/>
        <v>1</v>
      </c>
      <c r="AF394" s="12" t="b">
        <f t="shared" si="164"/>
        <v>1</v>
      </c>
    </row>
    <row r="395" spans="1:32" s="44" customFormat="1" ht="17.25" customHeight="1">
      <c r="A395" s="285"/>
      <c r="B395" s="23" t="s">
        <v>1028</v>
      </c>
      <c r="C395" s="36" t="s">
        <v>102</v>
      </c>
      <c r="D395" s="37" t="s">
        <v>104</v>
      </c>
      <c r="E395" s="37" t="s">
        <v>99</v>
      </c>
      <c r="F395" s="37" t="s">
        <v>1027</v>
      </c>
      <c r="G395" s="37" t="s">
        <v>90</v>
      </c>
      <c r="H395" s="183">
        <f>H396+H397</f>
        <v>46128.800000000003</v>
      </c>
      <c r="I395" s="183">
        <f>I396+I397</f>
        <v>47161.66</v>
      </c>
      <c r="J395" s="183">
        <f>J396+J397</f>
        <v>47161.66</v>
      </c>
      <c r="K395" s="183">
        <v>46128.800000000003</v>
      </c>
      <c r="L395" s="183">
        <v>47161.66</v>
      </c>
      <c r="M395" s="183">
        <v>47161.66</v>
      </c>
      <c r="N395" s="43">
        <f t="shared" si="168"/>
        <v>0</v>
      </c>
      <c r="O395" s="183">
        <v>46128.800000000003</v>
      </c>
      <c r="P395" s="183">
        <v>47161.66</v>
      </c>
      <c r="Q395" s="183">
        <v>47161.66</v>
      </c>
      <c r="R395" s="472">
        <f t="shared" si="156"/>
        <v>0</v>
      </c>
      <c r="S395" s="472">
        <f t="shared" si="157"/>
        <v>0</v>
      </c>
      <c r="T395" s="472">
        <f t="shared" si="158"/>
        <v>0</v>
      </c>
      <c r="U395" s="23" t="s">
        <v>1028</v>
      </c>
      <c r="V395" s="36" t="s">
        <v>102</v>
      </c>
      <c r="W395" s="37" t="s">
        <v>104</v>
      </c>
      <c r="X395" s="37" t="s">
        <v>99</v>
      </c>
      <c r="Y395" s="37" t="s">
        <v>1027</v>
      </c>
      <c r="Z395" s="37" t="s">
        <v>90</v>
      </c>
      <c r="AA395" s="12" t="b">
        <f t="shared" si="159"/>
        <v>1</v>
      </c>
      <c r="AB395" s="12" t="b">
        <f t="shared" si="160"/>
        <v>1</v>
      </c>
      <c r="AC395" s="12" t="b">
        <f t="shared" si="161"/>
        <v>1</v>
      </c>
      <c r="AD395" s="12" t="b">
        <f t="shared" si="162"/>
        <v>1</v>
      </c>
      <c r="AE395" s="12" t="b">
        <f t="shared" si="163"/>
        <v>1</v>
      </c>
      <c r="AF395" s="12" t="b">
        <f t="shared" si="164"/>
        <v>1</v>
      </c>
    </row>
    <row r="396" spans="1:32" s="44" customFormat="1" ht="17.25" customHeight="1">
      <c r="A396" s="285"/>
      <c r="B396" s="23" t="s">
        <v>132</v>
      </c>
      <c r="C396" s="36" t="s">
        <v>102</v>
      </c>
      <c r="D396" s="37" t="s">
        <v>104</v>
      </c>
      <c r="E396" s="37" t="s">
        <v>99</v>
      </c>
      <c r="F396" s="37" t="s">
        <v>1027</v>
      </c>
      <c r="G396" s="37" t="s">
        <v>171</v>
      </c>
      <c r="H396" s="183">
        <v>42816.3</v>
      </c>
      <c r="I396" s="183">
        <v>43849.16</v>
      </c>
      <c r="J396" s="183">
        <v>43849.16</v>
      </c>
      <c r="K396" s="183">
        <v>42816.3</v>
      </c>
      <c r="L396" s="183">
        <v>43849.16</v>
      </c>
      <c r="M396" s="183">
        <v>43849.16</v>
      </c>
      <c r="N396" s="43">
        <f t="shared" si="168"/>
        <v>0</v>
      </c>
      <c r="O396" s="183">
        <v>42816.3</v>
      </c>
      <c r="P396" s="183">
        <v>43849.16</v>
      </c>
      <c r="Q396" s="183">
        <v>43849.16</v>
      </c>
      <c r="R396" s="472">
        <f t="shared" si="156"/>
        <v>0</v>
      </c>
      <c r="S396" s="472">
        <f t="shared" si="157"/>
        <v>0</v>
      </c>
      <c r="T396" s="472">
        <f t="shared" si="158"/>
        <v>0</v>
      </c>
      <c r="U396" s="23" t="s">
        <v>132</v>
      </c>
      <c r="V396" s="36" t="s">
        <v>102</v>
      </c>
      <c r="W396" s="37" t="s">
        <v>104</v>
      </c>
      <c r="X396" s="37" t="s">
        <v>99</v>
      </c>
      <c r="Y396" s="37" t="s">
        <v>1027</v>
      </c>
      <c r="Z396" s="37" t="s">
        <v>171</v>
      </c>
      <c r="AA396" s="12" t="b">
        <f t="shared" si="159"/>
        <v>1</v>
      </c>
      <c r="AB396" s="12" t="b">
        <f t="shared" si="160"/>
        <v>1</v>
      </c>
      <c r="AC396" s="12" t="b">
        <f t="shared" si="161"/>
        <v>1</v>
      </c>
      <c r="AD396" s="12" t="b">
        <f t="shared" si="162"/>
        <v>1</v>
      </c>
      <c r="AE396" s="12" t="b">
        <f t="shared" si="163"/>
        <v>1</v>
      </c>
      <c r="AF396" s="12" t="b">
        <f t="shared" si="164"/>
        <v>1</v>
      </c>
    </row>
    <row r="397" spans="1:32" s="44" customFormat="1" ht="17.25" customHeight="1">
      <c r="A397" s="285"/>
      <c r="B397" s="23" t="s">
        <v>133</v>
      </c>
      <c r="C397" s="36" t="s">
        <v>102</v>
      </c>
      <c r="D397" s="37" t="s">
        <v>104</v>
      </c>
      <c r="E397" s="37" t="s">
        <v>99</v>
      </c>
      <c r="F397" s="37" t="s">
        <v>1027</v>
      </c>
      <c r="G397" s="37" t="s">
        <v>19</v>
      </c>
      <c r="H397" s="183">
        <v>3312.5</v>
      </c>
      <c r="I397" s="183">
        <v>3312.5</v>
      </c>
      <c r="J397" s="183">
        <v>3312.5</v>
      </c>
      <c r="K397" s="183">
        <v>3312.5</v>
      </c>
      <c r="L397" s="183">
        <v>3312.5</v>
      </c>
      <c r="M397" s="183">
        <v>3312.5</v>
      </c>
      <c r="N397" s="43">
        <f t="shared" si="168"/>
        <v>0</v>
      </c>
      <c r="O397" s="183">
        <v>3312.5</v>
      </c>
      <c r="P397" s="183">
        <v>3312.5</v>
      </c>
      <c r="Q397" s="183">
        <v>3312.5</v>
      </c>
      <c r="R397" s="472">
        <f t="shared" si="156"/>
        <v>0</v>
      </c>
      <c r="S397" s="472">
        <f t="shared" si="157"/>
        <v>0</v>
      </c>
      <c r="T397" s="472">
        <f t="shared" si="158"/>
        <v>0</v>
      </c>
      <c r="U397" s="23" t="s">
        <v>133</v>
      </c>
      <c r="V397" s="36" t="s">
        <v>102</v>
      </c>
      <c r="W397" s="37" t="s">
        <v>104</v>
      </c>
      <c r="X397" s="37" t="s">
        <v>99</v>
      </c>
      <c r="Y397" s="37" t="s">
        <v>1027</v>
      </c>
      <c r="Z397" s="37" t="s">
        <v>19</v>
      </c>
      <c r="AA397" s="12" t="b">
        <f t="shared" si="159"/>
        <v>1</v>
      </c>
      <c r="AB397" s="12" t="b">
        <f t="shared" si="160"/>
        <v>1</v>
      </c>
      <c r="AC397" s="12" t="b">
        <f t="shared" si="161"/>
        <v>1</v>
      </c>
      <c r="AD397" s="12" t="b">
        <f t="shared" si="162"/>
        <v>1</v>
      </c>
      <c r="AE397" s="12" t="b">
        <f t="shared" si="163"/>
        <v>1</v>
      </c>
      <c r="AF397" s="12" t="b">
        <f t="shared" si="164"/>
        <v>1</v>
      </c>
    </row>
    <row r="398" spans="1:32" s="44" customFormat="1" ht="17.25" customHeight="1">
      <c r="A398" s="285"/>
      <c r="B398" s="23" t="s">
        <v>1127</v>
      </c>
      <c r="C398" s="36" t="s">
        <v>102</v>
      </c>
      <c r="D398" s="37" t="s">
        <v>104</v>
      </c>
      <c r="E398" s="37" t="s">
        <v>99</v>
      </c>
      <c r="F398" s="37" t="s">
        <v>1126</v>
      </c>
      <c r="G398" s="37" t="s">
        <v>90</v>
      </c>
      <c r="H398" s="183">
        <f>H399</f>
        <v>20344.23</v>
      </c>
      <c r="I398" s="183"/>
      <c r="J398" s="183"/>
      <c r="K398" s="183"/>
      <c r="L398" s="183"/>
      <c r="M398" s="183"/>
      <c r="N398" s="43">
        <f t="shared" si="168"/>
        <v>0</v>
      </c>
      <c r="O398" s="183"/>
      <c r="P398" s="183"/>
      <c r="Q398" s="183"/>
      <c r="R398" s="472"/>
      <c r="S398" s="472"/>
      <c r="T398" s="472"/>
      <c r="U398" s="23"/>
      <c r="V398" s="36"/>
      <c r="W398" s="37"/>
      <c r="X398" s="37"/>
      <c r="Y398" s="37"/>
      <c r="Z398" s="37"/>
      <c r="AA398" s="12"/>
      <c r="AB398" s="12"/>
      <c r="AC398" s="12"/>
      <c r="AD398" s="12"/>
      <c r="AE398" s="12"/>
      <c r="AF398" s="12"/>
    </row>
    <row r="399" spans="1:32" s="44" customFormat="1" ht="17.25" customHeight="1">
      <c r="A399" s="285"/>
      <c r="B399" s="23" t="s">
        <v>132</v>
      </c>
      <c r="C399" s="36" t="s">
        <v>102</v>
      </c>
      <c r="D399" s="37" t="s">
        <v>104</v>
      </c>
      <c r="E399" s="37" t="s">
        <v>99</v>
      </c>
      <c r="F399" s="37" t="s">
        <v>1126</v>
      </c>
      <c r="G399" s="37" t="s">
        <v>171</v>
      </c>
      <c r="H399" s="183">
        <f>19327.02+1017.21</f>
        <v>20344.23</v>
      </c>
      <c r="I399" s="183"/>
      <c r="J399" s="183"/>
      <c r="K399" s="183"/>
      <c r="L399" s="183"/>
      <c r="M399" s="183"/>
      <c r="N399" s="43">
        <f t="shared" si="168"/>
        <v>0</v>
      </c>
      <c r="O399" s="183"/>
      <c r="P399" s="183"/>
      <c r="Q399" s="183"/>
      <c r="R399" s="472"/>
      <c r="S399" s="472"/>
      <c r="T399" s="472"/>
      <c r="U399" s="23"/>
      <c r="V399" s="36"/>
      <c r="W399" s="37"/>
      <c r="X399" s="37"/>
      <c r="Y399" s="37"/>
      <c r="Z399" s="37"/>
      <c r="AA399" s="12"/>
      <c r="AB399" s="12"/>
      <c r="AC399" s="12"/>
      <c r="AD399" s="12"/>
      <c r="AE399" s="12"/>
      <c r="AF399" s="12"/>
    </row>
    <row r="400" spans="1:32" s="44" customFormat="1" ht="17.25" customHeight="1">
      <c r="A400" s="285"/>
      <c r="B400" s="182" t="s">
        <v>669</v>
      </c>
      <c r="C400" s="36" t="s">
        <v>102</v>
      </c>
      <c r="D400" s="37" t="s">
        <v>104</v>
      </c>
      <c r="E400" s="37" t="s">
        <v>99</v>
      </c>
      <c r="F400" s="37" t="s">
        <v>257</v>
      </c>
      <c r="G400" s="37" t="s">
        <v>90</v>
      </c>
      <c r="H400" s="183">
        <f t="shared" ref="H400:J401" si="173">H401</f>
        <v>4567.93</v>
      </c>
      <c r="I400" s="183">
        <f t="shared" si="173"/>
        <v>4567.93</v>
      </c>
      <c r="J400" s="183">
        <f t="shared" si="173"/>
        <v>4567.93</v>
      </c>
      <c r="K400" s="183">
        <v>4567.93</v>
      </c>
      <c r="L400" s="183">
        <v>4567.93</v>
      </c>
      <c r="M400" s="183">
        <v>4567.93</v>
      </c>
      <c r="N400" s="43">
        <f t="shared" si="168"/>
        <v>0</v>
      </c>
      <c r="O400" s="183">
        <v>4567.93</v>
      </c>
      <c r="P400" s="183">
        <v>4567.93</v>
      </c>
      <c r="Q400" s="183">
        <v>4567.93</v>
      </c>
      <c r="R400" s="472">
        <f t="shared" si="156"/>
        <v>0</v>
      </c>
      <c r="S400" s="472">
        <f t="shared" si="157"/>
        <v>0</v>
      </c>
      <c r="T400" s="472">
        <f t="shared" si="158"/>
        <v>0</v>
      </c>
      <c r="U400" s="182" t="s">
        <v>669</v>
      </c>
      <c r="V400" s="36" t="s">
        <v>102</v>
      </c>
      <c r="W400" s="37" t="s">
        <v>104</v>
      </c>
      <c r="X400" s="37" t="s">
        <v>99</v>
      </c>
      <c r="Y400" s="37" t="s">
        <v>257</v>
      </c>
      <c r="Z400" s="37" t="s">
        <v>90</v>
      </c>
      <c r="AA400" s="12" t="b">
        <f t="shared" si="159"/>
        <v>1</v>
      </c>
      <c r="AB400" s="12" t="b">
        <f t="shared" si="160"/>
        <v>1</v>
      </c>
      <c r="AC400" s="12" t="b">
        <f t="shared" si="161"/>
        <v>1</v>
      </c>
      <c r="AD400" s="12" t="b">
        <f t="shared" si="162"/>
        <v>1</v>
      </c>
      <c r="AE400" s="12" t="b">
        <f t="shared" si="163"/>
        <v>1</v>
      </c>
      <c r="AF400" s="12" t="b">
        <f t="shared" si="164"/>
        <v>1</v>
      </c>
    </row>
    <row r="401" spans="1:32" s="44" customFormat="1" ht="17.25" customHeight="1">
      <c r="A401" s="285"/>
      <c r="B401" s="182" t="s">
        <v>533</v>
      </c>
      <c r="C401" s="36" t="s">
        <v>102</v>
      </c>
      <c r="D401" s="37" t="s">
        <v>104</v>
      </c>
      <c r="E401" s="37" t="s">
        <v>99</v>
      </c>
      <c r="F401" s="37" t="s">
        <v>680</v>
      </c>
      <c r="G401" s="37" t="s">
        <v>90</v>
      </c>
      <c r="H401" s="183">
        <f t="shared" si="173"/>
        <v>4567.93</v>
      </c>
      <c r="I401" s="183">
        <f t="shared" si="173"/>
        <v>4567.93</v>
      </c>
      <c r="J401" s="183">
        <f t="shared" si="173"/>
        <v>4567.93</v>
      </c>
      <c r="K401" s="183">
        <v>4567.93</v>
      </c>
      <c r="L401" s="183">
        <v>4567.93</v>
      </c>
      <c r="M401" s="183">
        <v>4567.93</v>
      </c>
      <c r="N401" s="43">
        <f t="shared" si="168"/>
        <v>0</v>
      </c>
      <c r="O401" s="183">
        <v>4567.93</v>
      </c>
      <c r="P401" s="183">
        <v>4567.93</v>
      </c>
      <c r="Q401" s="183">
        <v>4567.93</v>
      </c>
      <c r="R401" s="472">
        <f t="shared" si="156"/>
        <v>0</v>
      </c>
      <c r="S401" s="472">
        <f t="shared" si="157"/>
        <v>0</v>
      </c>
      <c r="T401" s="472">
        <f t="shared" si="158"/>
        <v>0</v>
      </c>
      <c r="U401" s="182" t="s">
        <v>533</v>
      </c>
      <c r="V401" s="36" t="s">
        <v>102</v>
      </c>
      <c r="W401" s="37" t="s">
        <v>104</v>
      </c>
      <c r="X401" s="37" t="s">
        <v>99</v>
      </c>
      <c r="Y401" s="37" t="s">
        <v>680</v>
      </c>
      <c r="Z401" s="37" t="s">
        <v>90</v>
      </c>
      <c r="AA401" s="12" t="b">
        <f t="shared" si="159"/>
        <v>1</v>
      </c>
      <c r="AB401" s="12" t="b">
        <f t="shared" si="160"/>
        <v>1</v>
      </c>
      <c r="AC401" s="12" t="b">
        <f t="shared" si="161"/>
        <v>1</v>
      </c>
      <c r="AD401" s="12" t="b">
        <f t="shared" si="162"/>
        <v>1</v>
      </c>
      <c r="AE401" s="12" t="b">
        <f t="shared" si="163"/>
        <v>1</v>
      </c>
      <c r="AF401" s="12" t="b">
        <f t="shared" si="164"/>
        <v>1</v>
      </c>
    </row>
    <row r="402" spans="1:32" s="44" customFormat="1" ht="17.25" customHeight="1">
      <c r="A402" s="285"/>
      <c r="B402" s="182" t="s">
        <v>168</v>
      </c>
      <c r="C402" s="36" t="s">
        <v>102</v>
      </c>
      <c r="D402" s="37" t="s">
        <v>104</v>
      </c>
      <c r="E402" s="37" t="s">
        <v>99</v>
      </c>
      <c r="F402" s="37" t="s">
        <v>893</v>
      </c>
      <c r="G402" s="37" t="s">
        <v>90</v>
      </c>
      <c r="H402" s="183">
        <f>H403+H404</f>
        <v>4567.93</v>
      </c>
      <c r="I402" s="183">
        <f>I403+I404</f>
        <v>4567.93</v>
      </c>
      <c r="J402" s="183">
        <f>J403+J404</f>
        <v>4567.93</v>
      </c>
      <c r="K402" s="183">
        <v>4567.93</v>
      </c>
      <c r="L402" s="183">
        <v>4567.93</v>
      </c>
      <c r="M402" s="183">
        <v>4567.93</v>
      </c>
      <c r="N402" s="43">
        <f t="shared" si="168"/>
        <v>0</v>
      </c>
      <c r="O402" s="183">
        <v>4567.93</v>
      </c>
      <c r="P402" s="183">
        <v>4567.93</v>
      </c>
      <c r="Q402" s="183">
        <v>4567.93</v>
      </c>
      <c r="R402" s="472">
        <f t="shared" si="156"/>
        <v>0</v>
      </c>
      <c r="S402" s="472">
        <f t="shared" si="157"/>
        <v>0</v>
      </c>
      <c r="T402" s="472">
        <f t="shared" si="158"/>
        <v>0</v>
      </c>
      <c r="U402" s="182" t="s">
        <v>168</v>
      </c>
      <c r="V402" s="36" t="s">
        <v>102</v>
      </c>
      <c r="W402" s="37" t="s">
        <v>104</v>
      </c>
      <c r="X402" s="37" t="s">
        <v>99</v>
      </c>
      <c r="Y402" s="37" t="s">
        <v>893</v>
      </c>
      <c r="Z402" s="37" t="s">
        <v>90</v>
      </c>
      <c r="AA402" s="12" t="b">
        <f t="shared" si="159"/>
        <v>1</v>
      </c>
      <c r="AB402" s="12" t="b">
        <f t="shared" si="160"/>
        <v>1</v>
      </c>
      <c r="AC402" s="12" t="b">
        <f t="shared" si="161"/>
        <v>1</v>
      </c>
      <c r="AD402" s="12" t="b">
        <f t="shared" si="162"/>
        <v>1</v>
      </c>
      <c r="AE402" s="12" t="b">
        <f t="shared" si="163"/>
        <v>1</v>
      </c>
      <c r="AF402" s="12" t="b">
        <f t="shared" si="164"/>
        <v>1</v>
      </c>
    </row>
    <row r="403" spans="1:32" s="44" customFormat="1" ht="17.25" customHeight="1">
      <c r="A403" s="285"/>
      <c r="B403" s="23" t="s">
        <v>132</v>
      </c>
      <c r="C403" s="36" t="s">
        <v>102</v>
      </c>
      <c r="D403" s="37" t="s">
        <v>104</v>
      </c>
      <c r="E403" s="37" t="s">
        <v>99</v>
      </c>
      <c r="F403" s="37" t="s">
        <v>893</v>
      </c>
      <c r="G403" s="37" t="s">
        <v>171</v>
      </c>
      <c r="H403" s="183">
        <v>4467.93</v>
      </c>
      <c r="I403" s="183">
        <v>4467.93</v>
      </c>
      <c r="J403" s="183">
        <v>4467.93</v>
      </c>
      <c r="K403" s="183">
        <v>4467.93</v>
      </c>
      <c r="L403" s="183">
        <v>4467.93</v>
      </c>
      <c r="M403" s="183">
        <v>4467.93</v>
      </c>
      <c r="N403" s="43">
        <f t="shared" si="168"/>
        <v>0</v>
      </c>
      <c r="O403" s="183">
        <v>4467.93</v>
      </c>
      <c r="P403" s="183">
        <v>4467.93</v>
      </c>
      <c r="Q403" s="183">
        <v>4467.93</v>
      </c>
      <c r="R403" s="472">
        <f t="shared" si="156"/>
        <v>0</v>
      </c>
      <c r="S403" s="472">
        <f t="shared" si="157"/>
        <v>0</v>
      </c>
      <c r="T403" s="472">
        <f t="shared" si="158"/>
        <v>0</v>
      </c>
      <c r="U403" s="23" t="s">
        <v>132</v>
      </c>
      <c r="V403" s="36" t="s">
        <v>102</v>
      </c>
      <c r="W403" s="37" t="s">
        <v>104</v>
      </c>
      <c r="X403" s="37" t="s">
        <v>99</v>
      </c>
      <c r="Y403" s="37" t="s">
        <v>893</v>
      </c>
      <c r="Z403" s="37" t="s">
        <v>171</v>
      </c>
      <c r="AA403" s="12" t="b">
        <f t="shared" si="159"/>
        <v>1</v>
      </c>
      <c r="AB403" s="12" t="b">
        <f t="shared" si="160"/>
        <v>1</v>
      </c>
      <c r="AC403" s="12" t="b">
        <f t="shared" si="161"/>
        <v>1</v>
      </c>
      <c r="AD403" s="12" t="b">
        <f t="shared" si="162"/>
        <v>1</v>
      </c>
      <c r="AE403" s="12" t="b">
        <f t="shared" si="163"/>
        <v>1</v>
      </c>
      <c r="AF403" s="12" t="b">
        <f t="shared" si="164"/>
        <v>1</v>
      </c>
    </row>
    <row r="404" spans="1:32" s="44" customFormat="1" ht="17.25" customHeight="1">
      <c r="A404" s="285"/>
      <c r="B404" s="23" t="s">
        <v>133</v>
      </c>
      <c r="C404" s="36" t="s">
        <v>102</v>
      </c>
      <c r="D404" s="37" t="s">
        <v>104</v>
      </c>
      <c r="E404" s="37" t="s">
        <v>99</v>
      </c>
      <c r="F404" s="37" t="s">
        <v>893</v>
      </c>
      <c r="G404" s="37" t="s">
        <v>19</v>
      </c>
      <c r="H404" s="183">
        <v>100</v>
      </c>
      <c r="I404" s="183">
        <v>100</v>
      </c>
      <c r="J404" s="183">
        <v>100</v>
      </c>
      <c r="K404" s="183">
        <v>100</v>
      </c>
      <c r="L404" s="183">
        <v>100</v>
      </c>
      <c r="M404" s="183">
        <v>100</v>
      </c>
      <c r="N404" s="43">
        <f t="shared" si="168"/>
        <v>0</v>
      </c>
      <c r="O404" s="183">
        <v>100</v>
      </c>
      <c r="P404" s="183">
        <v>100</v>
      </c>
      <c r="Q404" s="183">
        <v>100</v>
      </c>
      <c r="R404" s="472">
        <f t="shared" si="156"/>
        <v>0</v>
      </c>
      <c r="S404" s="472">
        <f t="shared" si="157"/>
        <v>0</v>
      </c>
      <c r="T404" s="472">
        <f t="shared" si="158"/>
        <v>0</v>
      </c>
      <c r="U404" s="23" t="s">
        <v>133</v>
      </c>
      <c r="V404" s="36" t="s">
        <v>102</v>
      </c>
      <c r="W404" s="37" t="s">
        <v>104</v>
      </c>
      <c r="X404" s="37" t="s">
        <v>99</v>
      </c>
      <c r="Y404" s="37" t="s">
        <v>893</v>
      </c>
      <c r="Z404" s="37" t="s">
        <v>19</v>
      </c>
      <c r="AA404" s="12" t="b">
        <f t="shared" si="159"/>
        <v>1</v>
      </c>
      <c r="AB404" s="12" t="b">
        <f t="shared" si="160"/>
        <v>1</v>
      </c>
      <c r="AC404" s="12" t="b">
        <f t="shared" si="161"/>
        <v>1</v>
      </c>
      <c r="AD404" s="12" t="b">
        <f t="shared" si="162"/>
        <v>1</v>
      </c>
      <c r="AE404" s="12" t="b">
        <f t="shared" si="163"/>
        <v>1</v>
      </c>
      <c r="AF404" s="12" t="b">
        <f t="shared" si="164"/>
        <v>1</v>
      </c>
    </row>
    <row r="405" spans="1:32" s="44" customFormat="1" ht="17.25" customHeight="1">
      <c r="A405" s="285"/>
      <c r="B405" s="22" t="s">
        <v>668</v>
      </c>
      <c r="C405" s="36" t="s">
        <v>102</v>
      </c>
      <c r="D405" s="37" t="s">
        <v>104</v>
      </c>
      <c r="E405" s="37" t="s">
        <v>99</v>
      </c>
      <c r="F405" s="37" t="s">
        <v>259</v>
      </c>
      <c r="G405" s="37" t="s">
        <v>90</v>
      </c>
      <c r="H405" s="183">
        <f t="shared" ref="H405:J407" si="174">H406</f>
        <v>280.14999999999998</v>
      </c>
      <c r="I405" s="183">
        <f t="shared" si="174"/>
        <v>280.14999999999998</v>
      </c>
      <c r="J405" s="183">
        <f t="shared" si="174"/>
        <v>280.14999999999998</v>
      </c>
      <c r="K405" s="183">
        <v>280.14999999999998</v>
      </c>
      <c r="L405" s="183">
        <v>280.14999999999998</v>
      </c>
      <c r="M405" s="183">
        <v>280.14999999999998</v>
      </c>
      <c r="N405" s="43">
        <f t="shared" si="168"/>
        <v>0</v>
      </c>
      <c r="O405" s="183">
        <v>280.14999999999998</v>
      </c>
      <c r="P405" s="183">
        <v>280.14999999999998</v>
      </c>
      <c r="Q405" s="183">
        <v>280.14999999999998</v>
      </c>
      <c r="R405" s="472">
        <f t="shared" si="156"/>
        <v>0</v>
      </c>
      <c r="S405" s="472">
        <f t="shared" si="157"/>
        <v>0</v>
      </c>
      <c r="T405" s="472">
        <f t="shared" si="158"/>
        <v>0</v>
      </c>
      <c r="U405" s="22" t="s">
        <v>668</v>
      </c>
      <c r="V405" s="36" t="s">
        <v>102</v>
      </c>
      <c r="W405" s="37" t="s">
        <v>104</v>
      </c>
      <c r="X405" s="37" t="s">
        <v>99</v>
      </c>
      <c r="Y405" s="37" t="s">
        <v>259</v>
      </c>
      <c r="Z405" s="37" t="s">
        <v>90</v>
      </c>
      <c r="AA405" s="12" t="b">
        <f t="shared" si="159"/>
        <v>1</v>
      </c>
      <c r="AB405" s="12" t="b">
        <f t="shared" si="160"/>
        <v>1</v>
      </c>
      <c r="AC405" s="12" t="b">
        <f t="shared" si="161"/>
        <v>1</v>
      </c>
      <c r="AD405" s="12" t="b">
        <f t="shared" si="162"/>
        <v>1</v>
      </c>
      <c r="AE405" s="12" t="b">
        <f t="shared" si="163"/>
        <v>1</v>
      </c>
      <c r="AF405" s="12" t="b">
        <f t="shared" si="164"/>
        <v>1</v>
      </c>
    </row>
    <row r="406" spans="1:32" s="44" customFormat="1" ht="17.25" customHeight="1">
      <c r="A406" s="285"/>
      <c r="B406" s="22" t="s">
        <v>528</v>
      </c>
      <c r="C406" s="36" t="s">
        <v>102</v>
      </c>
      <c r="D406" s="37" t="s">
        <v>104</v>
      </c>
      <c r="E406" s="37" t="s">
        <v>99</v>
      </c>
      <c r="F406" s="37" t="s">
        <v>469</v>
      </c>
      <c r="G406" s="37" t="s">
        <v>90</v>
      </c>
      <c r="H406" s="183">
        <f t="shared" si="174"/>
        <v>280.14999999999998</v>
      </c>
      <c r="I406" s="183">
        <f t="shared" si="174"/>
        <v>280.14999999999998</v>
      </c>
      <c r="J406" s="183">
        <f t="shared" si="174"/>
        <v>280.14999999999998</v>
      </c>
      <c r="K406" s="183">
        <v>280.14999999999998</v>
      </c>
      <c r="L406" s="183">
        <v>280.14999999999998</v>
      </c>
      <c r="M406" s="183">
        <v>280.14999999999998</v>
      </c>
      <c r="N406" s="43">
        <f t="shared" si="168"/>
        <v>0</v>
      </c>
      <c r="O406" s="183">
        <v>280.14999999999998</v>
      </c>
      <c r="P406" s="183">
        <v>280.14999999999998</v>
      </c>
      <c r="Q406" s="183">
        <v>280.14999999999998</v>
      </c>
      <c r="R406" s="472">
        <f t="shared" si="156"/>
        <v>0</v>
      </c>
      <c r="S406" s="472">
        <f t="shared" si="157"/>
        <v>0</v>
      </c>
      <c r="T406" s="472">
        <f t="shared" si="158"/>
        <v>0</v>
      </c>
      <c r="U406" s="22" t="s">
        <v>528</v>
      </c>
      <c r="V406" s="36" t="s">
        <v>102</v>
      </c>
      <c r="W406" s="37" t="s">
        <v>104</v>
      </c>
      <c r="X406" s="37" t="s">
        <v>99</v>
      </c>
      <c r="Y406" s="37" t="s">
        <v>469</v>
      </c>
      <c r="Z406" s="37" t="s">
        <v>90</v>
      </c>
      <c r="AA406" s="12" t="b">
        <f t="shared" si="159"/>
        <v>1</v>
      </c>
      <c r="AB406" s="12" t="b">
        <f t="shared" si="160"/>
        <v>1</v>
      </c>
      <c r="AC406" s="12" t="b">
        <f t="shared" si="161"/>
        <v>1</v>
      </c>
      <c r="AD406" s="12" t="b">
        <f t="shared" si="162"/>
        <v>1</v>
      </c>
      <c r="AE406" s="12" t="b">
        <f t="shared" si="163"/>
        <v>1</v>
      </c>
      <c r="AF406" s="12" t="b">
        <f t="shared" si="164"/>
        <v>1</v>
      </c>
    </row>
    <row r="407" spans="1:32" s="44" customFormat="1" ht="17.25" customHeight="1">
      <c r="A407" s="285"/>
      <c r="B407" s="54" t="s">
        <v>810</v>
      </c>
      <c r="C407" s="36" t="s">
        <v>102</v>
      </c>
      <c r="D407" s="37" t="s">
        <v>104</v>
      </c>
      <c r="E407" s="37" t="s">
        <v>99</v>
      </c>
      <c r="F407" s="37" t="s">
        <v>892</v>
      </c>
      <c r="G407" s="37" t="s">
        <v>90</v>
      </c>
      <c r="H407" s="183">
        <f t="shared" si="174"/>
        <v>280.14999999999998</v>
      </c>
      <c r="I407" s="183">
        <f t="shared" si="174"/>
        <v>280.14999999999998</v>
      </c>
      <c r="J407" s="183">
        <f t="shared" si="174"/>
        <v>280.14999999999998</v>
      </c>
      <c r="K407" s="183">
        <v>280.14999999999998</v>
      </c>
      <c r="L407" s="183">
        <v>280.14999999999998</v>
      </c>
      <c r="M407" s="183">
        <v>280.14999999999998</v>
      </c>
      <c r="N407" s="43">
        <f t="shared" si="168"/>
        <v>0</v>
      </c>
      <c r="O407" s="183">
        <v>280.14999999999998</v>
      </c>
      <c r="P407" s="183">
        <v>280.14999999999998</v>
      </c>
      <c r="Q407" s="183">
        <v>280.14999999999998</v>
      </c>
      <c r="R407" s="472">
        <f t="shared" si="156"/>
        <v>0</v>
      </c>
      <c r="S407" s="472">
        <f t="shared" si="157"/>
        <v>0</v>
      </c>
      <c r="T407" s="472">
        <f t="shared" si="158"/>
        <v>0</v>
      </c>
      <c r="U407" s="54" t="s">
        <v>810</v>
      </c>
      <c r="V407" s="36" t="s">
        <v>102</v>
      </c>
      <c r="W407" s="37" t="s">
        <v>104</v>
      </c>
      <c r="X407" s="37" t="s">
        <v>99</v>
      </c>
      <c r="Y407" s="37" t="s">
        <v>892</v>
      </c>
      <c r="Z407" s="37" t="s">
        <v>90</v>
      </c>
      <c r="AA407" s="12" t="b">
        <f t="shared" si="159"/>
        <v>1</v>
      </c>
      <c r="AB407" s="12" t="b">
        <f t="shared" si="160"/>
        <v>1</v>
      </c>
      <c r="AC407" s="12" t="b">
        <f t="shared" si="161"/>
        <v>1</v>
      </c>
      <c r="AD407" s="12" t="b">
        <f t="shared" si="162"/>
        <v>1</v>
      </c>
      <c r="AE407" s="12" t="b">
        <f t="shared" si="163"/>
        <v>1</v>
      </c>
      <c r="AF407" s="12" t="b">
        <f t="shared" si="164"/>
        <v>1</v>
      </c>
    </row>
    <row r="408" spans="1:32" s="44" customFormat="1" ht="17.25" customHeight="1">
      <c r="A408" s="285"/>
      <c r="B408" s="23" t="s">
        <v>132</v>
      </c>
      <c r="C408" s="36" t="s">
        <v>102</v>
      </c>
      <c r="D408" s="37" t="s">
        <v>104</v>
      </c>
      <c r="E408" s="37" t="s">
        <v>99</v>
      </c>
      <c r="F408" s="37" t="s">
        <v>892</v>
      </c>
      <c r="G408" s="37" t="s">
        <v>171</v>
      </c>
      <c r="H408" s="183">
        <v>280.14999999999998</v>
      </c>
      <c r="I408" s="183">
        <v>280.14999999999998</v>
      </c>
      <c r="J408" s="183">
        <v>280.14999999999998</v>
      </c>
      <c r="K408" s="183">
        <v>280.14999999999998</v>
      </c>
      <c r="L408" s="183">
        <v>280.14999999999998</v>
      </c>
      <c r="M408" s="183">
        <v>280.14999999999998</v>
      </c>
      <c r="N408" s="43">
        <f t="shared" si="168"/>
        <v>0</v>
      </c>
      <c r="O408" s="183">
        <v>280.14999999999998</v>
      </c>
      <c r="P408" s="183">
        <v>280.14999999999998</v>
      </c>
      <c r="Q408" s="183">
        <v>280.14999999999998</v>
      </c>
      <c r="R408" s="472">
        <f t="shared" si="156"/>
        <v>0</v>
      </c>
      <c r="S408" s="472">
        <f t="shared" si="157"/>
        <v>0</v>
      </c>
      <c r="T408" s="472">
        <f t="shared" si="158"/>
        <v>0</v>
      </c>
      <c r="U408" s="23" t="s">
        <v>132</v>
      </c>
      <c r="V408" s="36" t="s">
        <v>102</v>
      </c>
      <c r="W408" s="37" t="s">
        <v>104</v>
      </c>
      <c r="X408" s="37" t="s">
        <v>99</v>
      </c>
      <c r="Y408" s="37" t="s">
        <v>892</v>
      </c>
      <c r="Z408" s="37" t="s">
        <v>171</v>
      </c>
      <c r="AA408" s="12" t="b">
        <f t="shared" si="159"/>
        <v>1</v>
      </c>
      <c r="AB408" s="12" t="b">
        <f t="shared" si="160"/>
        <v>1</v>
      </c>
      <c r="AC408" s="12" t="b">
        <f t="shared" si="161"/>
        <v>1</v>
      </c>
      <c r="AD408" s="12" t="b">
        <f t="shared" si="162"/>
        <v>1</v>
      </c>
      <c r="AE408" s="12" t="b">
        <f t="shared" si="163"/>
        <v>1</v>
      </c>
      <c r="AF408" s="12" t="b">
        <f t="shared" si="164"/>
        <v>1</v>
      </c>
    </row>
    <row r="409" spans="1:32" s="44" customFormat="1" ht="17.25" customHeight="1">
      <c r="A409" s="285"/>
      <c r="B409" s="182" t="s">
        <v>1165</v>
      </c>
      <c r="C409" s="36" t="s">
        <v>102</v>
      </c>
      <c r="D409" s="37" t="s">
        <v>104</v>
      </c>
      <c r="E409" s="37" t="s">
        <v>99</v>
      </c>
      <c r="F409" s="37" t="s">
        <v>323</v>
      </c>
      <c r="G409" s="37" t="s">
        <v>90</v>
      </c>
      <c r="H409" s="183">
        <f t="shared" ref="H409:J411" si="175">H410</f>
        <v>3063.13</v>
      </c>
      <c r="I409" s="183">
        <f t="shared" si="175"/>
        <v>2848.37</v>
      </c>
      <c r="J409" s="183">
        <f t="shared" si="175"/>
        <v>2848.37</v>
      </c>
      <c r="K409" s="183">
        <v>3063.13</v>
      </c>
      <c r="L409" s="183">
        <v>2848.37</v>
      </c>
      <c r="M409" s="183">
        <v>2848.37</v>
      </c>
      <c r="N409" s="43">
        <f t="shared" si="168"/>
        <v>0</v>
      </c>
      <c r="O409" s="183">
        <v>3063.13</v>
      </c>
      <c r="P409" s="183">
        <v>2848.37</v>
      </c>
      <c r="Q409" s="183">
        <v>2848.37</v>
      </c>
      <c r="R409" s="472">
        <f t="shared" si="156"/>
        <v>0</v>
      </c>
      <c r="S409" s="472">
        <f t="shared" si="157"/>
        <v>0</v>
      </c>
      <c r="T409" s="472">
        <f t="shared" si="158"/>
        <v>0</v>
      </c>
      <c r="U409" s="182" t="s">
        <v>1165</v>
      </c>
      <c r="V409" s="36" t="s">
        <v>102</v>
      </c>
      <c r="W409" s="37" t="s">
        <v>104</v>
      </c>
      <c r="X409" s="37" t="s">
        <v>99</v>
      </c>
      <c r="Y409" s="37" t="s">
        <v>323</v>
      </c>
      <c r="Z409" s="37" t="s">
        <v>90</v>
      </c>
      <c r="AA409" s="12" t="b">
        <f t="shared" si="159"/>
        <v>1</v>
      </c>
      <c r="AB409" s="12" t="b">
        <f t="shared" si="160"/>
        <v>1</v>
      </c>
      <c r="AC409" s="12" t="b">
        <f t="shared" si="161"/>
        <v>1</v>
      </c>
      <c r="AD409" s="12" t="b">
        <f t="shared" si="162"/>
        <v>1</v>
      </c>
      <c r="AE409" s="12" t="b">
        <f t="shared" si="163"/>
        <v>1</v>
      </c>
      <c r="AF409" s="12" t="b">
        <f t="shared" si="164"/>
        <v>1</v>
      </c>
    </row>
    <row r="410" spans="1:32" s="44" customFormat="1" ht="17.25" customHeight="1">
      <c r="A410" s="285"/>
      <c r="B410" s="182" t="s">
        <v>1214</v>
      </c>
      <c r="C410" s="36" t="s">
        <v>102</v>
      </c>
      <c r="D410" s="37" t="s">
        <v>104</v>
      </c>
      <c r="E410" s="37" t="s">
        <v>99</v>
      </c>
      <c r="F410" s="37" t="s">
        <v>324</v>
      </c>
      <c r="G410" s="37" t="s">
        <v>90</v>
      </c>
      <c r="H410" s="183">
        <f t="shared" si="175"/>
        <v>3063.13</v>
      </c>
      <c r="I410" s="183">
        <f t="shared" si="175"/>
        <v>2848.37</v>
      </c>
      <c r="J410" s="183">
        <f t="shared" si="175"/>
        <v>2848.37</v>
      </c>
      <c r="K410" s="183">
        <v>3063.13</v>
      </c>
      <c r="L410" s="183">
        <v>2848.37</v>
      </c>
      <c r="M410" s="183">
        <v>2848.37</v>
      </c>
      <c r="N410" s="43">
        <f t="shared" si="168"/>
        <v>0</v>
      </c>
      <c r="O410" s="183">
        <v>3063.13</v>
      </c>
      <c r="P410" s="183">
        <v>2848.37</v>
      </c>
      <c r="Q410" s="183">
        <v>2848.37</v>
      </c>
      <c r="R410" s="472">
        <f t="shared" si="156"/>
        <v>0</v>
      </c>
      <c r="S410" s="472">
        <f t="shared" si="157"/>
        <v>0</v>
      </c>
      <c r="T410" s="472">
        <f t="shared" si="158"/>
        <v>0</v>
      </c>
      <c r="U410" s="495" t="s">
        <v>1214</v>
      </c>
      <c r="V410" s="36" t="s">
        <v>102</v>
      </c>
      <c r="W410" s="37" t="s">
        <v>104</v>
      </c>
      <c r="X410" s="37" t="s">
        <v>99</v>
      </c>
      <c r="Y410" s="37" t="s">
        <v>324</v>
      </c>
      <c r="Z410" s="37" t="s">
        <v>90</v>
      </c>
      <c r="AA410" s="12" t="b">
        <f t="shared" si="159"/>
        <v>1</v>
      </c>
      <c r="AB410" s="12" t="b">
        <f t="shared" si="160"/>
        <v>1</v>
      </c>
      <c r="AC410" s="12" t="b">
        <f t="shared" si="161"/>
        <v>1</v>
      </c>
      <c r="AD410" s="12" t="b">
        <f t="shared" si="162"/>
        <v>1</v>
      </c>
      <c r="AE410" s="12" t="b">
        <f t="shared" si="163"/>
        <v>1</v>
      </c>
      <c r="AF410" s="12" t="b">
        <f t="shared" si="164"/>
        <v>1</v>
      </c>
    </row>
    <row r="411" spans="1:32" s="44" customFormat="1" ht="17.25" customHeight="1">
      <c r="A411" s="285"/>
      <c r="B411" s="182" t="s">
        <v>573</v>
      </c>
      <c r="C411" s="36" t="s">
        <v>102</v>
      </c>
      <c r="D411" s="37" t="s">
        <v>104</v>
      </c>
      <c r="E411" s="37" t="s">
        <v>99</v>
      </c>
      <c r="F411" s="37" t="s">
        <v>526</v>
      </c>
      <c r="G411" s="37" t="s">
        <v>90</v>
      </c>
      <c r="H411" s="183">
        <f t="shared" si="175"/>
        <v>3063.13</v>
      </c>
      <c r="I411" s="183">
        <f t="shared" si="175"/>
        <v>2848.37</v>
      </c>
      <c r="J411" s="183">
        <f t="shared" si="175"/>
        <v>2848.37</v>
      </c>
      <c r="K411" s="183">
        <v>3063.13</v>
      </c>
      <c r="L411" s="183">
        <v>2848.37</v>
      </c>
      <c r="M411" s="183">
        <v>2848.37</v>
      </c>
      <c r="N411" s="43">
        <f t="shared" si="168"/>
        <v>0</v>
      </c>
      <c r="O411" s="183">
        <v>3063.13</v>
      </c>
      <c r="P411" s="183">
        <v>2848.37</v>
      </c>
      <c r="Q411" s="183">
        <v>2848.37</v>
      </c>
      <c r="R411" s="472">
        <f t="shared" si="156"/>
        <v>0</v>
      </c>
      <c r="S411" s="472">
        <f t="shared" si="157"/>
        <v>0</v>
      </c>
      <c r="T411" s="472">
        <f t="shared" si="158"/>
        <v>0</v>
      </c>
      <c r="U411" s="182" t="s">
        <v>573</v>
      </c>
      <c r="V411" s="36" t="s">
        <v>102</v>
      </c>
      <c r="W411" s="37" t="s">
        <v>104</v>
      </c>
      <c r="X411" s="37" t="s">
        <v>99</v>
      </c>
      <c r="Y411" s="37" t="s">
        <v>526</v>
      </c>
      <c r="Z411" s="37" t="s">
        <v>90</v>
      </c>
      <c r="AA411" s="12" t="b">
        <f t="shared" si="159"/>
        <v>1</v>
      </c>
      <c r="AB411" s="12" t="b">
        <f t="shared" si="160"/>
        <v>1</v>
      </c>
      <c r="AC411" s="12" t="b">
        <f t="shared" si="161"/>
        <v>1</v>
      </c>
      <c r="AD411" s="12" t="b">
        <f t="shared" si="162"/>
        <v>1</v>
      </c>
      <c r="AE411" s="12" t="b">
        <f t="shared" si="163"/>
        <v>1</v>
      </c>
      <c r="AF411" s="12" t="b">
        <f t="shared" si="164"/>
        <v>1</v>
      </c>
    </row>
    <row r="412" spans="1:32" s="44" customFormat="1" ht="17.25" customHeight="1">
      <c r="A412" s="285"/>
      <c r="B412" s="182" t="s">
        <v>202</v>
      </c>
      <c r="C412" s="36" t="s">
        <v>102</v>
      </c>
      <c r="D412" s="37" t="s">
        <v>104</v>
      </c>
      <c r="E412" s="37" t="s">
        <v>99</v>
      </c>
      <c r="F412" s="37" t="s">
        <v>527</v>
      </c>
      <c r="G412" s="37" t="s">
        <v>90</v>
      </c>
      <c r="H412" s="183">
        <f>H413+H414</f>
        <v>3063.13</v>
      </c>
      <c r="I412" s="183">
        <f>I413+I414</f>
        <v>2848.37</v>
      </c>
      <c r="J412" s="183">
        <f>J413+J414</f>
        <v>2848.37</v>
      </c>
      <c r="K412" s="183">
        <v>3063.13</v>
      </c>
      <c r="L412" s="183">
        <v>2848.37</v>
      </c>
      <c r="M412" s="183">
        <v>2848.37</v>
      </c>
      <c r="N412" s="43">
        <f t="shared" si="168"/>
        <v>0</v>
      </c>
      <c r="O412" s="183">
        <v>3063.13</v>
      </c>
      <c r="P412" s="183">
        <v>2848.37</v>
      </c>
      <c r="Q412" s="183">
        <v>2848.37</v>
      </c>
      <c r="R412" s="472">
        <f t="shared" si="156"/>
        <v>0</v>
      </c>
      <c r="S412" s="472">
        <f t="shared" si="157"/>
        <v>0</v>
      </c>
      <c r="T412" s="472">
        <f t="shared" si="158"/>
        <v>0</v>
      </c>
      <c r="U412" s="182" t="s">
        <v>202</v>
      </c>
      <c r="V412" s="36" t="s">
        <v>102</v>
      </c>
      <c r="W412" s="37" t="s">
        <v>104</v>
      </c>
      <c r="X412" s="37" t="s">
        <v>99</v>
      </c>
      <c r="Y412" s="37" t="s">
        <v>527</v>
      </c>
      <c r="Z412" s="37" t="s">
        <v>90</v>
      </c>
      <c r="AA412" s="12" t="b">
        <f t="shared" si="159"/>
        <v>1</v>
      </c>
      <c r="AB412" s="12" t="b">
        <f t="shared" si="160"/>
        <v>1</v>
      </c>
      <c r="AC412" s="12" t="b">
        <f t="shared" si="161"/>
        <v>1</v>
      </c>
      <c r="AD412" s="12" t="b">
        <f t="shared" si="162"/>
        <v>1</v>
      </c>
      <c r="AE412" s="12" t="b">
        <f t="shared" si="163"/>
        <v>1</v>
      </c>
      <c r="AF412" s="12" t="b">
        <f t="shared" si="164"/>
        <v>1</v>
      </c>
    </row>
    <row r="413" spans="1:32" s="44" customFormat="1" ht="17.25" customHeight="1">
      <c r="A413" s="285"/>
      <c r="B413" s="23" t="s">
        <v>132</v>
      </c>
      <c r="C413" s="36" t="s">
        <v>102</v>
      </c>
      <c r="D413" s="37" t="s">
        <v>104</v>
      </c>
      <c r="E413" s="37" t="s">
        <v>99</v>
      </c>
      <c r="F413" s="37" t="s">
        <v>527</v>
      </c>
      <c r="G413" s="37" t="s">
        <v>171</v>
      </c>
      <c r="H413" s="183">
        <v>2835.53</v>
      </c>
      <c r="I413" s="183">
        <v>2620.77</v>
      </c>
      <c r="J413" s="183">
        <v>2620.77</v>
      </c>
      <c r="K413" s="183">
        <v>2835.53</v>
      </c>
      <c r="L413" s="183">
        <v>2620.77</v>
      </c>
      <c r="M413" s="183">
        <v>2620.77</v>
      </c>
      <c r="N413" s="43">
        <f t="shared" si="168"/>
        <v>0</v>
      </c>
      <c r="O413" s="183">
        <v>2835.53</v>
      </c>
      <c r="P413" s="183">
        <v>2620.77</v>
      </c>
      <c r="Q413" s="183">
        <v>2620.77</v>
      </c>
      <c r="R413" s="472">
        <f t="shared" si="156"/>
        <v>0</v>
      </c>
      <c r="S413" s="472">
        <f t="shared" si="157"/>
        <v>0</v>
      </c>
      <c r="T413" s="472">
        <f t="shared" si="158"/>
        <v>0</v>
      </c>
      <c r="U413" s="23" t="s">
        <v>132</v>
      </c>
      <c r="V413" s="36" t="s">
        <v>102</v>
      </c>
      <c r="W413" s="37" t="s">
        <v>104</v>
      </c>
      <c r="X413" s="37" t="s">
        <v>99</v>
      </c>
      <c r="Y413" s="37" t="s">
        <v>527</v>
      </c>
      <c r="Z413" s="37" t="s">
        <v>171</v>
      </c>
      <c r="AA413" s="12" t="b">
        <f t="shared" si="159"/>
        <v>1</v>
      </c>
      <c r="AB413" s="12" t="b">
        <f t="shared" si="160"/>
        <v>1</v>
      </c>
      <c r="AC413" s="12" t="b">
        <f t="shared" si="161"/>
        <v>1</v>
      </c>
      <c r="AD413" s="12" t="b">
        <f t="shared" si="162"/>
        <v>1</v>
      </c>
      <c r="AE413" s="12" t="b">
        <f t="shared" si="163"/>
        <v>1</v>
      </c>
      <c r="AF413" s="12" t="b">
        <f t="shared" si="164"/>
        <v>1</v>
      </c>
    </row>
    <row r="414" spans="1:32" s="44" customFormat="1" ht="17.25" customHeight="1">
      <c r="A414" s="285"/>
      <c r="B414" s="23" t="s">
        <v>133</v>
      </c>
      <c r="C414" s="36" t="s">
        <v>102</v>
      </c>
      <c r="D414" s="37" t="s">
        <v>104</v>
      </c>
      <c r="E414" s="37" t="s">
        <v>99</v>
      </c>
      <c r="F414" s="37" t="s">
        <v>527</v>
      </c>
      <c r="G414" s="37" t="s">
        <v>19</v>
      </c>
      <c r="H414" s="183">
        <v>227.6</v>
      </c>
      <c r="I414" s="183">
        <v>227.6</v>
      </c>
      <c r="J414" s="183">
        <v>227.6</v>
      </c>
      <c r="K414" s="183">
        <v>227.6</v>
      </c>
      <c r="L414" s="183">
        <v>227.6</v>
      </c>
      <c r="M414" s="183">
        <v>227.6</v>
      </c>
      <c r="N414" s="43">
        <f t="shared" si="168"/>
        <v>0</v>
      </c>
      <c r="O414" s="183">
        <v>227.6</v>
      </c>
      <c r="P414" s="183">
        <v>227.6</v>
      </c>
      <c r="Q414" s="183">
        <v>227.6</v>
      </c>
      <c r="R414" s="472">
        <f t="shared" si="156"/>
        <v>0</v>
      </c>
      <c r="S414" s="472">
        <f t="shared" si="157"/>
        <v>0</v>
      </c>
      <c r="T414" s="472">
        <f t="shared" si="158"/>
        <v>0</v>
      </c>
      <c r="U414" s="23" t="s">
        <v>133</v>
      </c>
      <c r="V414" s="36" t="s">
        <v>102</v>
      </c>
      <c r="W414" s="37" t="s">
        <v>104</v>
      </c>
      <c r="X414" s="37" t="s">
        <v>99</v>
      </c>
      <c r="Y414" s="37" t="s">
        <v>527</v>
      </c>
      <c r="Z414" s="37" t="s">
        <v>19</v>
      </c>
      <c r="AA414" s="12" t="b">
        <f t="shared" si="159"/>
        <v>1</v>
      </c>
      <c r="AB414" s="12" t="b">
        <f t="shared" si="160"/>
        <v>1</v>
      </c>
      <c r="AC414" s="12" t="b">
        <f t="shared" si="161"/>
        <v>1</v>
      </c>
      <c r="AD414" s="12" t="b">
        <f t="shared" si="162"/>
        <v>1</v>
      </c>
      <c r="AE414" s="12" t="b">
        <f t="shared" si="163"/>
        <v>1</v>
      </c>
      <c r="AF414" s="12" t="b">
        <f t="shared" si="164"/>
        <v>1</v>
      </c>
    </row>
    <row r="415" spans="1:32" s="44" customFormat="1" ht="17.25" customHeight="1">
      <c r="A415" s="285"/>
      <c r="B415" s="23" t="s">
        <v>673</v>
      </c>
      <c r="C415" s="36" t="s">
        <v>102</v>
      </c>
      <c r="D415" s="37" t="s">
        <v>104</v>
      </c>
      <c r="E415" s="37" t="s">
        <v>99</v>
      </c>
      <c r="F415" s="37" t="s">
        <v>261</v>
      </c>
      <c r="G415" s="37" t="s">
        <v>90</v>
      </c>
      <c r="H415" s="183">
        <f t="shared" ref="H415:J418" si="176">H416</f>
        <v>91.8</v>
      </c>
      <c r="I415" s="183">
        <f t="shared" si="176"/>
        <v>91.8</v>
      </c>
      <c r="J415" s="183">
        <f t="shared" si="176"/>
        <v>91.8</v>
      </c>
      <c r="K415" s="183">
        <v>91.8</v>
      </c>
      <c r="L415" s="183">
        <v>91.8</v>
      </c>
      <c r="M415" s="183">
        <v>91.8</v>
      </c>
      <c r="N415" s="43">
        <f t="shared" si="168"/>
        <v>0</v>
      </c>
      <c r="O415" s="183">
        <v>91.8</v>
      </c>
      <c r="P415" s="183">
        <v>91.8</v>
      </c>
      <c r="Q415" s="183">
        <v>91.8</v>
      </c>
      <c r="R415" s="472">
        <f t="shared" si="156"/>
        <v>0</v>
      </c>
      <c r="S415" s="472">
        <f t="shared" si="157"/>
        <v>0</v>
      </c>
      <c r="T415" s="472">
        <f t="shared" si="158"/>
        <v>0</v>
      </c>
      <c r="U415" s="23" t="s">
        <v>673</v>
      </c>
      <c r="V415" s="36" t="s">
        <v>102</v>
      </c>
      <c r="W415" s="37" t="s">
        <v>104</v>
      </c>
      <c r="X415" s="37" t="s">
        <v>99</v>
      </c>
      <c r="Y415" s="37" t="s">
        <v>261</v>
      </c>
      <c r="Z415" s="37" t="s">
        <v>90</v>
      </c>
      <c r="AA415" s="12" t="b">
        <f t="shared" si="159"/>
        <v>1</v>
      </c>
      <c r="AB415" s="12" t="b">
        <f t="shared" si="160"/>
        <v>1</v>
      </c>
      <c r="AC415" s="12" t="b">
        <f t="shared" si="161"/>
        <v>1</v>
      </c>
      <c r="AD415" s="12" t="b">
        <f t="shared" si="162"/>
        <v>1</v>
      </c>
      <c r="AE415" s="12" t="b">
        <f t="shared" si="163"/>
        <v>1</v>
      </c>
      <c r="AF415" s="12" t="b">
        <f t="shared" si="164"/>
        <v>1</v>
      </c>
    </row>
    <row r="416" spans="1:32" s="44" customFormat="1" ht="17.25" customHeight="1">
      <c r="A416" s="285"/>
      <c r="B416" s="23" t="s">
        <v>674</v>
      </c>
      <c r="C416" s="36" t="s">
        <v>102</v>
      </c>
      <c r="D416" s="37" t="s">
        <v>104</v>
      </c>
      <c r="E416" s="37" t="s">
        <v>99</v>
      </c>
      <c r="F416" s="37" t="s">
        <v>262</v>
      </c>
      <c r="G416" s="37" t="s">
        <v>90</v>
      </c>
      <c r="H416" s="183">
        <f t="shared" si="176"/>
        <v>91.8</v>
      </c>
      <c r="I416" s="183">
        <f t="shared" si="176"/>
        <v>91.8</v>
      </c>
      <c r="J416" s="183">
        <f t="shared" si="176"/>
        <v>91.8</v>
      </c>
      <c r="K416" s="183">
        <v>91.8</v>
      </c>
      <c r="L416" s="183">
        <v>91.8</v>
      </c>
      <c r="M416" s="183">
        <v>91.8</v>
      </c>
      <c r="N416" s="43">
        <f t="shared" si="168"/>
        <v>0</v>
      </c>
      <c r="O416" s="183">
        <v>91.8</v>
      </c>
      <c r="P416" s="183">
        <v>91.8</v>
      </c>
      <c r="Q416" s="183">
        <v>91.8</v>
      </c>
      <c r="R416" s="472">
        <f t="shared" si="156"/>
        <v>0</v>
      </c>
      <c r="S416" s="472">
        <f t="shared" si="157"/>
        <v>0</v>
      </c>
      <c r="T416" s="472">
        <f t="shared" si="158"/>
        <v>0</v>
      </c>
      <c r="U416" s="23" t="s">
        <v>674</v>
      </c>
      <c r="V416" s="36" t="s">
        <v>102</v>
      </c>
      <c r="W416" s="37" t="s">
        <v>104</v>
      </c>
      <c r="X416" s="37" t="s">
        <v>99</v>
      </c>
      <c r="Y416" s="37" t="s">
        <v>262</v>
      </c>
      <c r="Z416" s="37" t="s">
        <v>90</v>
      </c>
      <c r="AA416" s="12" t="b">
        <f t="shared" si="159"/>
        <v>1</v>
      </c>
      <c r="AB416" s="12" t="b">
        <f t="shared" si="160"/>
        <v>1</v>
      </c>
      <c r="AC416" s="12" t="b">
        <f t="shared" si="161"/>
        <v>1</v>
      </c>
      <c r="AD416" s="12" t="b">
        <f t="shared" si="162"/>
        <v>1</v>
      </c>
      <c r="AE416" s="12" t="b">
        <f t="shared" si="163"/>
        <v>1</v>
      </c>
      <c r="AF416" s="12" t="b">
        <f t="shared" si="164"/>
        <v>1</v>
      </c>
    </row>
    <row r="417" spans="1:32" s="44" customFormat="1" ht="17.25" customHeight="1">
      <c r="A417" s="285"/>
      <c r="B417" s="182" t="s">
        <v>685</v>
      </c>
      <c r="C417" s="36" t="s">
        <v>102</v>
      </c>
      <c r="D417" s="37" t="s">
        <v>104</v>
      </c>
      <c r="E417" s="37" t="s">
        <v>99</v>
      </c>
      <c r="F417" s="37" t="s">
        <v>686</v>
      </c>
      <c r="G417" s="37" t="s">
        <v>90</v>
      </c>
      <c r="H417" s="183">
        <f t="shared" si="176"/>
        <v>91.8</v>
      </c>
      <c r="I417" s="183">
        <f t="shared" si="176"/>
        <v>91.8</v>
      </c>
      <c r="J417" s="183">
        <f t="shared" si="176"/>
        <v>91.8</v>
      </c>
      <c r="K417" s="183">
        <v>91.8</v>
      </c>
      <c r="L417" s="183">
        <v>91.8</v>
      </c>
      <c r="M417" s="183">
        <v>91.8</v>
      </c>
      <c r="N417" s="43">
        <f t="shared" si="168"/>
        <v>0</v>
      </c>
      <c r="O417" s="183">
        <v>91.8</v>
      </c>
      <c r="P417" s="183">
        <v>91.8</v>
      </c>
      <c r="Q417" s="183">
        <v>91.8</v>
      </c>
      <c r="R417" s="472">
        <f t="shared" si="156"/>
        <v>0</v>
      </c>
      <c r="S417" s="472">
        <f t="shared" si="157"/>
        <v>0</v>
      </c>
      <c r="T417" s="472">
        <f t="shared" si="158"/>
        <v>0</v>
      </c>
      <c r="U417" s="182" t="s">
        <v>685</v>
      </c>
      <c r="V417" s="36" t="s">
        <v>102</v>
      </c>
      <c r="W417" s="37" t="s">
        <v>104</v>
      </c>
      <c r="X417" s="37" t="s">
        <v>99</v>
      </c>
      <c r="Y417" s="37" t="s">
        <v>686</v>
      </c>
      <c r="Z417" s="37" t="s">
        <v>90</v>
      </c>
      <c r="AA417" s="12" t="b">
        <f t="shared" si="159"/>
        <v>1</v>
      </c>
      <c r="AB417" s="12" t="b">
        <f t="shared" si="160"/>
        <v>1</v>
      </c>
      <c r="AC417" s="12" t="b">
        <f t="shared" si="161"/>
        <v>1</v>
      </c>
      <c r="AD417" s="12" t="b">
        <f t="shared" si="162"/>
        <v>1</v>
      </c>
      <c r="AE417" s="12" t="b">
        <f t="shared" si="163"/>
        <v>1</v>
      </c>
      <c r="AF417" s="12" t="b">
        <f t="shared" si="164"/>
        <v>1</v>
      </c>
    </row>
    <row r="418" spans="1:32" s="44" customFormat="1" ht="17.25" customHeight="1">
      <c r="A418" s="285"/>
      <c r="B418" s="182" t="s">
        <v>687</v>
      </c>
      <c r="C418" s="36" t="s">
        <v>102</v>
      </c>
      <c r="D418" s="37" t="s">
        <v>104</v>
      </c>
      <c r="E418" s="37" t="s">
        <v>99</v>
      </c>
      <c r="F418" s="37" t="s">
        <v>688</v>
      </c>
      <c r="G418" s="37" t="s">
        <v>90</v>
      </c>
      <c r="H418" s="183">
        <f t="shared" si="176"/>
        <v>91.8</v>
      </c>
      <c r="I418" s="183">
        <f t="shared" si="176"/>
        <v>91.8</v>
      </c>
      <c r="J418" s="183">
        <f t="shared" si="176"/>
        <v>91.8</v>
      </c>
      <c r="K418" s="183">
        <v>91.8</v>
      </c>
      <c r="L418" s="183">
        <v>91.8</v>
      </c>
      <c r="M418" s="183">
        <v>91.8</v>
      </c>
      <c r="N418" s="43">
        <f t="shared" si="168"/>
        <v>0</v>
      </c>
      <c r="O418" s="183">
        <v>91.8</v>
      </c>
      <c r="P418" s="183">
        <v>91.8</v>
      </c>
      <c r="Q418" s="183">
        <v>91.8</v>
      </c>
      <c r="R418" s="472">
        <f t="shared" si="156"/>
        <v>0</v>
      </c>
      <c r="S418" s="472">
        <f t="shared" si="157"/>
        <v>0</v>
      </c>
      <c r="T418" s="472">
        <f t="shared" si="158"/>
        <v>0</v>
      </c>
      <c r="U418" s="182" t="s">
        <v>687</v>
      </c>
      <c r="V418" s="36" t="s">
        <v>102</v>
      </c>
      <c r="W418" s="37" t="s">
        <v>104</v>
      </c>
      <c r="X418" s="37" t="s">
        <v>99</v>
      </c>
      <c r="Y418" s="37" t="s">
        <v>688</v>
      </c>
      <c r="Z418" s="37" t="s">
        <v>90</v>
      </c>
      <c r="AA418" s="12" t="b">
        <f t="shared" si="159"/>
        <v>1</v>
      </c>
      <c r="AB418" s="12" t="b">
        <f t="shared" si="160"/>
        <v>1</v>
      </c>
      <c r="AC418" s="12" t="b">
        <f t="shared" si="161"/>
        <v>1</v>
      </c>
      <c r="AD418" s="12" t="b">
        <f t="shared" si="162"/>
        <v>1</v>
      </c>
      <c r="AE418" s="12" t="b">
        <f t="shared" si="163"/>
        <v>1</v>
      </c>
      <c r="AF418" s="12" t="b">
        <f t="shared" si="164"/>
        <v>1</v>
      </c>
    </row>
    <row r="419" spans="1:32" s="44" customFormat="1" ht="17.25" customHeight="1">
      <c r="A419" s="285"/>
      <c r="B419" s="23" t="s">
        <v>132</v>
      </c>
      <c r="C419" s="36" t="s">
        <v>102</v>
      </c>
      <c r="D419" s="37" t="s">
        <v>104</v>
      </c>
      <c r="E419" s="37" t="s">
        <v>99</v>
      </c>
      <c r="F419" s="37" t="s">
        <v>688</v>
      </c>
      <c r="G419" s="37" t="s">
        <v>171</v>
      </c>
      <c r="H419" s="183">
        <v>91.8</v>
      </c>
      <c r="I419" s="183">
        <v>91.8</v>
      </c>
      <c r="J419" s="183">
        <v>91.8</v>
      </c>
      <c r="K419" s="183">
        <v>91.8</v>
      </c>
      <c r="L419" s="183">
        <v>91.8</v>
      </c>
      <c r="M419" s="183">
        <v>91.8</v>
      </c>
      <c r="N419" s="43">
        <f t="shared" si="168"/>
        <v>0</v>
      </c>
      <c r="O419" s="183">
        <v>91.8</v>
      </c>
      <c r="P419" s="183">
        <v>91.8</v>
      </c>
      <c r="Q419" s="183">
        <v>91.8</v>
      </c>
      <c r="R419" s="472">
        <f t="shared" si="156"/>
        <v>0</v>
      </c>
      <c r="S419" s="472">
        <f t="shared" si="157"/>
        <v>0</v>
      </c>
      <c r="T419" s="472">
        <f t="shared" si="158"/>
        <v>0</v>
      </c>
      <c r="U419" s="23" t="s">
        <v>132</v>
      </c>
      <c r="V419" s="36" t="s">
        <v>102</v>
      </c>
      <c r="W419" s="37" t="s">
        <v>104</v>
      </c>
      <c r="X419" s="37" t="s">
        <v>99</v>
      </c>
      <c r="Y419" s="37" t="s">
        <v>688</v>
      </c>
      <c r="Z419" s="37" t="s">
        <v>171</v>
      </c>
      <c r="AA419" s="12" t="b">
        <f t="shared" si="159"/>
        <v>1</v>
      </c>
      <c r="AB419" s="12" t="b">
        <f t="shared" si="160"/>
        <v>1</v>
      </c>
      <c r="AC419" s="12" t="b">
        <f t="shared" si="161"/>
        <v>1</v>
      </c>
      <c r="AD419" s="12" t="b">
        <f t="shared" si="162"/>
        <v>1</v>
      </c>
      <c r="AE419" s="12" t="b">
        <f t="shared" si="163"/>
        <v>1</v>
      </c>
      <c r="AF419" s="12" t="b">
        <f t="shared" si="164"/>
        <v>1</v>
      </c>
    </row>
    <row r="420" spans="1:32" s="44" customFormat="1" ht="17.25" customHeight="1">
      <c r="A420" s="285"/>
      <c r="B420" s="32" t="s">
        <v>683</v>
      </c>
      <c r="C420" s="33" t="s">
        <v>102</v>
      </c>
      <c r="D420" s="34" t="s">
        <v>104</v>
      </c>
      <c r="E420" s="34" t="s">
        <v>85</v>
      </c>
      <c r="F420" s="34" t="s">
        <v>223</v>
      </c>
      <c r="G420" s="34" t="s">
        <v>90</v>
      </c>
      <c r="H420" s="35">
        <f>H421+H445+H430</f>
        <v>273545.38000000006</v>
      </c>
      <c r="I420" s="35">
        <f>I421+I445+I430</f>
        <v>269476.41000000003</v>
      </c>
      <c r="J420" s="35">
        <f>J421+J445+J430</f>
        <v>269729.76000000007</v>
      </c>
      <c r="K420" s="35">
        <v>273545.38000000006</v>
      </c>
      <c r="L420" s="35">
        <v>269476.41000000003</v>
      </c>
      <c r="M420" s="35">
        <v>269729.76000000007</v>
      </c>
      <c r="N420" s="43">
        <f t="shared" si="168"/>
        <v>0</v>
      </c>
      <c r="O420" s="35">
        <v>271864.00000000006</v>
      </c>
      <c r="P420" s="35">
        <v>267795.03000000003</v>
      </c>
      <c r="Q420" s="35">
        <v>268217.67000000004</v>
      </c>
      <c r="R420" s="472">
        <f t="shared" si="156"/>
        <v>1681.3800000000047</v>
      </c>
      <c r="S420" s="472">
        <f t="shared" si="157"/>
        <v>1681.3800000000047</v>
      </c>
      <c r="T420" s="472">
        <f t="shared" si="158"/>
        <v>1512.0900000000256</v>
      </c>
      <c r="U420" s="32" t="s">
        <v>683</v>
      </c>
      <c r="V420" s="33" t="s">
        <v>102</v>
      </c>
      <c r="W420" s="34" t="s">
        <v>104</v>
      </c>
      <c r="X420" s="34" t="s">
        <v>85</v>
      </c>
      <c r="Y420" s="34" t="s">
        <v>223</v>
      </c>
      <c r="Z420" s="34" t="s">
        <v>90</v>
      </c>
      <c r="AA420" s="12" t="b">
        <f t="shared" si="159"/>
        <v>1</v>
      </c>
      <c r="AB420" s="12" t="b">
        <f t="shared" si="160"/>
        <v>1</v>
      </c>
      <c r="AC420" s="12" t="b">
        <f t="shared" si="161"/>
        <v>1</v>
      </c>
      <c r="AD420" s="12" t="b">
        <f t="shared" si="162"/>
        <v>1</v>
      </c>
      <c r="AE420" s="12" t="b">
        <f t="shared" si="163"/>
        <v>1</v>
      </c>
      <c r="AF420" s="12" t="b">
        <f t="shared" si="164"/>
        <v>1</v>
      </c>
    </row>
    <row r="421" spans="1:32" s="44" customFormat="1" ht="17.25" customHeight="1">
      <c r="A421" s="285"/>
      <c r="B421" s="23" t="s">
        <v>647</v>
      </c>
      <c r="C421" s="36" t="s">
        <v>102</v>
      </c>
      <c r="D421" s="37" t="s">
        <v>104</v>
      </c>
      <c r="E421" s="37" t="s">
        <v>85</v>
      </c>
      <c r="F421" s="37" t="s">
        <v>316</v>
      </c>
      <c r="G421" s="37" t="s">
        <v>90</v>
      </c>
      <c r="H421" s="183">
        <f>H422</f>
        <v>261313.15000000005</v>
      </c>
      <c r="I421" s="183">
        <f>I422</f>
        <v>261692.87000000002</v>
      </c>
      <c r="J421" s="183">
        <f>J422</f>
        <v>261946.22000000003</v>
      </c>
      <c r="K421" s="183">
        <v>261313.15000000005</v>
      </c>
      <c r="L421" s="183">
        <v>261692.87000000002</v>
      </c>
      <c r="M421" s="183">
        <v>261946.22000000003</v>
      </c>
      <c r="N421" s="43">
        <f t="shared" si="168"/>
        <v>0</v>
      </c>
      <c r="O421" s="183">
        <v>259631.77000000002</v>
      </c>
      <c r="P421" s="183">
        <v>260011.49000000002</v>
      </c>
      <c r="Q421" s="183">
        <v>260434.13</v>
      </c>
      <c r="R421" s="472">
        <f t="shared" si="156"/>
        <v>1681.3800000000338</v>
      </c>
      <c r="S421" s="472">
        <f t="shared" si="157"/>
        <v>1681.3800000000047</v>
      </c>
      <c r="T421" s="472">
        <f t="shared" si="158"/>
        <v>1512.0900000000256</v>
      </c>
      <c r="U421" s="23" t="s">
        <v>647</v>
      </c>
      <c r="V421" s="36" t="s">
        <v>102</v>
      </c>
      <c r="W421" s="37" t="s">
        <v>104</v>
      </c>
      <c r="X421" s="37" t="s">
        <v>85</v>
      </c>
      <c r="Y421" s="37" t="s">
        <v>316</v>
      </c>
      <c r="Z421" s="37" t="s">
        <v>90</v>
      </c>
      <c r="AA421" s="12" t="b">
        <f t="shared" si="159"/>
        <v>1</v>
      </c>
      <c r="AB421" s="12" t="b">
        <f t="shared" si="160"/>
        <v>1</v>
      </c>
      <c r="AC421" s="12" t="b">
        <f t="shared" si="161"/>
        <v>1</v>
      </c>
      <c r="AD421" s="12" t="b">
        <f t="shared" si="162"/>
        <v>1</v>
      </c>
      <c r="AE421" s="12" t="b">
        <f t="shared" si="163"/>
        <v>1</v>
      </c>
      <c r="AF421" s="12" t="b">
        <f t="shared" si="164"/>
        <v>1</v>
      </c>
    </row>
    <row r="422" spans="1:32" s="44" customFormat="1" ht="17.25" customHeight="1">
      <c r="A422" s="285"/>
      <c r="B422" s="23" t="s">
        <v>740</v>
      </c>
      <c r="C422" s="36" t="s">
        <v>102</v>
      </c>
      <c r="D422" s="37" t="s">
        <v>104</v>
      </c>
      <c r="E422" s="37" t="s">
        <v>85</v>
      </c>
      <c r="F422" s="37" t="s">
        <v>317</v>
      </c>
      <c r="G422" s="37" t="s">
        <v>90</v>
      </c>
      <c r="H422" s="183">
        <f>H423+H427</f>
        <v>261313.15000000005</v>
      </c>
      <c r="I422" s="183">
        <f>I423+I427</f>
        <v>261692.87000000002</v>
      </c>
      <c r="J422" s="183">
        <f>J423+J427</f>
        <v>261946.22000000003</v>
      </c>
      <c r="K422" s="183">
        <v>261313.15000000005</v>
      </c>
      <c r="L422" s="183">
        <v>261692.87000000002</v>
      </c>
      <c r="M422" s="183">
        <v>261946.22000000003</v>
      </c>
      <c r="N422" s="43">
        <f t="shared" si="168"/>
        <v>0</v>
      </c>
      <c r="O422" s="183">
        <v>259631.77000000002</v>
      </c>
      <c r="P422" s="183">
        <v>260011.49000000002</v>
      </c>
      <c r="Q422" s="183">
        <v>260434.13</v>
      </c>
      <c r="R422" s="472">
        <f t="shared" si="156"/>
        <v>1681.3800000000338</v>
      </c>
      <c r="S422" s="472">
        <f t="shared" si="157"/>
        <v>1681.3800000000047</v>
      </c>
      <c r="T422" s="472">
        <f t="shared" si="158"/>
        <v>1512.0900000000256</v>
      </c>
      <c r="U422" s="23" t="s">
        <v>740</v>
      </c>
      <c r="V422" s="36" t="s">
        <v>102</v>
      </c>
      <c r="W422" s="37" t="s">
        <v>104</v>
      </c>
      <c r="X422" s="37" t="s">
        <v>85</v>
      </c>
      <c r="Y422" s="37" t="s">
        <v>317</v>
      </c>
      <c r="Z422" s="37" t="s">
        <v>90</v>
      </c>
      <c r="AA422" s="12" t="b">
        <f t="shared" si="159"/>
        <v>1</v>
      </c>
      <c r="AB422" s="12" t="b">
        <f t="shared" si="160"/>
        <v>1</v>
      </c>
      <c r="AC422" s="12" t="b">
        <f t="shared" si="161"/>
        <v>1</v>
      </c>
      <c r="AD422" s="12" t="b">
        <f t="shared" si="162"/>
        <v>1</v>
      </c>
      <c r="AE422" s="12" t="b">
        <f t="shared" si="163"/>
        <v>1</v>
      </c>
      <c r="AF422" s="12" t="b">
        <f t="shared" si="164"/>
        <v>1</v>
      </c>
    </row>
    <row r="423" spans="1:32" s="44" customFormat="1" ht="17.25" customHeight="1">
      <c r="A423" s="285"/>
      <c r="B423" s="54" t="s">
        <v>542</v>
      </c>
      <c r="C423" s="56" t="s">
        <v>102</v>
      </c>
      <c r="D423" s="57" t="s">
        <v>104</v>
      </c>
      <c r="E423" s="57" t="s">
        <v>85</v>
      </c>
      <c r="F423" s="57" t="s">
        <v>334</v>
      </c>
      <c r="G423" s="57" t="s">
        <v>90</v>
      </c>
      <c r="H423" s="58">
        <f>H424</f>
        <v>261143.86000000004</v>
      </c>
      <c r="I423" s="58">
        <f t="shared" ref="I423:J423" si="177">I424</f>
        <v>261523.58000000002</v>
      </c>
      <c r="J423" s="58">
        <f t="shared" si="177"/>
        <v>261946.22000000003</v>
      </c>
      <c r="K423" s="58">
        <v>261143.86000000004</v>
      </c>
      <c r="L423" s="58">
        <v>261523.58000000002</v>
      </c>
      <c r="M423" s="58">
        <v>261946.22000000003</v>
      </c>
      <c r="N423" s="43">
        <f t="shared" si="168"/>
        <v>0</v>
      </c>
      <c r="O423" s="58">
        <v>259462.48</v>
      </c>
      <c r="P423" s="58">
        <v>259842.2</v>
      </c>
      <c r="Q423" s="58">
        <v>260264.84</v>
      </c>
      <c r="R423" s="472">
        <f t="shared" si="156"/>
        <v>1681.3800000000338</v>
      </c>
      <c r="S423" s="472">
        <f t="shared" si="157"/>
        <v>1681.3800000000047</v>
      </c>
      <c r="T423" s="472">
        <f t="shared" si="158"/>
        <v>1681.3800000000338</v>
      </c>
      <c r="U423" s="54" t="s">
        <v>542</v>
      </c>
      <c r="V423" s="56" t="s">
        <v>102</v>
      </c>
      <c r="W423" s="57" t="s">
        <v>104</v>
      </c>
      <c r="X423" s="57" t="s">
        <v>85</v>
      </c>
      <c r="Y423" s="57" t="s">
        <v>334</v>
      </c>
      <c r="Z423" s="57" t="s">
        <v>90</v>
      </c>
      <c r="AA423" s="12" t="b">
        <f t="shared" si="159"/>
        <v>1</v>
      </c>
      <c r="AB423" s="12" t="b">
        <f t="shared" si="160"/>
        <v>1</v>
      </c>
      <c r="AC423" s="12" t="b">
        <f t="shared" si="161"/>
        <v>1</v>
      </c>
      <c r="AD423" s="12" t="b">
        <f t="shared" si="162"/>
        <v>1</v>
      </c>
      <c r="AE423" s="12" t="b">
        <f t="shared" si="163"/>
        <v>1</v>
      </c>
      <c r="AF423" s="12" t="b">
        <f t="shared" si="164"/>
        <v>1</v>
      </c>
    </row>
    <row r="424" spans="1:32" s="44" customFormat="1" ht="17.25" customHeight="1">
      <c r="A424" s="285"/>
      <c r="B424" s="65" t="s">
        <v>254</v>
      </c>
      <c r="C424" s="56" t="s">
        <v>102</v>
      </c>
      <c r="D424" s="57" t="s">
        <v>104</v>
      </c>
      <c r="E424" s="57" t="s">
        <v>85</v>
      </c>
      <c r="F424" s="57" t="s">
        <v>335</v>
      </c>
      <c r="G424" s="57" t="s">
        <v>90</v>
      </c>
      <c r="H424" s="58">
        <f>H425+H426</f>
        <v>261143.86000000004</v>
      </c>
      <c r="I424" s="58">
        <f>I425+I426</f>
        <v>261523.58000000002</v>
      </c>
      <c r="J424" s="58">
        <f>J425+J426</f>
        <v>261946.22000000003</v>
      </c>
      <c r="K424" s="58">
        <v>261143.86000000004</v>
      </c>
      <c r="L424" s="58">
        <v>261523.58000000002</v>
      </c>
      <c r="M424" s="58">
        <v>261946.22000000003</v>
      </c>
      <c r="N424" s="43">
        <f t="shared" si="168"/>
        <v>0</v>
      </c>
      <c r="O424" s="58">
        <v>259462.48</v>
      </c>
      <c r="P424" s="58">
        <v>259842.2</v>
      </c>
      <c r="Q424" s="58">
        <v>260264.84</v>
      </c>
      <c r="R424" s="472">
        <f t="shared" si="156"/>
        <v>1681.3800000000338</v>
      </c>
      <c r="S424" s="472">
        <f t="shared" si="157"/>
        <v>1681.3800000000047</v>
      </c>
      <c r="T424" s="472">
        <f t="shared" si="158"/>
        <v>1681.3800000000338</v>
      </c>
      <c r="U424" s="65" t="s">
        <v>254</v>
      </c>
      <c r="V424" s="56" t="s">
        <v>102</v>
      </c>
      <c r="W424" s="57" t="s">
        <v>104</v>
      </c>
      <c r="X424" s="57" t="s">
        <v>85</v>
      </c>
      <c r="Y424" s="57" t="s">
        <v>335</v>
      </c>
      <c r="Z424" s="57" t="s">
        <v>90</v>
      </c>
      <c r="AA424" s="12" t="b">
        <f t="shared" si="159"/>
        <v>1</v>
      </c>
      <c r="AB424" s="12" t="b">
        <f t="shared" si="160"/>
        <v>1</v>
      </c>
      <c r="AC424" s="12" t="b">
        <f t="shared" si="161"/>
        <v>1</v>
      </c>
      <c r="AD424" s="12" t="b">
        <f t="shared" si="162"/>
        <v>1</v>
      </c>
      <c r="AE424" s="12" t="b">
        <f t="shared" si="163"/>
        <v>1</v>
      </c>
      <c r="AF424" s="12" t="b">
        <f t="shared" si="164"/>
        <v>1</v>
      </c>
    </row>
    <row r="425" spans="1:32" s="44" customFormat="1" ht="17.25" customHeight="1">
      <c r="A425" s="285"/>
      <c r="B425" s="23" t="s">
        <v>132</v>
      </c>
      <c r="C425" s="36" t="s">
        <v>102</v>
      </c>
      <c r="D425" s="37" t="s">
        <v>104</v>
      </c>
      <c r="E425" s="37" t="s">
        <v>85</v>
      </c>
      <c r="F425" s="37" t="s">
        <v>335</v>
      </c>
      <c r="G425" s="37" t="s">
        <v>171</v>
      </c>
      <c r="H425" s="183">
        <f>105926.75+733.49</f>
        <v>106660.24</v>
      </c>
      <c r="I425" s="183">
        <f>103344.74+733.49</f>
        <v>104078.23000000001</v>
      </c>
      <c r="J425" s="183">
        <f>103483.35+733.49</f>
        <v>104216.84000000001</v>
      </c>
      <c r="K425" s="183">
        <v>106660.24</v>
      </c>
      <c r="L425" s="183">
        <v>104078.23000000001</v>
      </c>
      <c r="M425" s="183">
        <v>104216.84000000001</v>
      </c>
      <c r="N425" s="43">
        <f t="shared" si="168"/>
        <v>0</v>
      </c>
      <c r="O425" s="183">
        <v>105926.75</v>
      </c>
      <c r="P425" s="183">
        <v>103344.74</v>
      </c>
      <c r="Q425" s="183">
        <v>103483.35</v>
      </c>
      <c r="R425" s="472">
        <f t="shared" si="156"/>
        <v>733.49000000000524</v>
      </c>
      <c r="S425" s="472">
        <f t="shared" si="157"/>
        <v>733.49000000000524</v>
      </c>
      <c r="T425" s="472">
        <f t="shared" si="158"/>
        <v>733.49000000000524</v>
      </c>
      <c r="U425" s="23" t="s">
        <v>132</v>
      </c>
      <c r="V425" s="36" t="s">
        <v>102</v>
      </c>
      <c r="W425" s="37" t="s">
        <v>104</v>
      </c>
      <c r="X425" s="37" t="s">
        <v>85</v>
      </c>
      <c r="Y425" s="37" t="s">
        <v>335</v>
      </c>
      <c r="Z425" s="37" t="s">
        <v>171</v>
      </c>
      <c r="AA425" s="12" t="b">
        <f t="shared" si="159"/>
        <v>1</v>
      </c>
      <c r="AB425" s="12" t="b">
        <f t="shared" si="160"/>
        <v>1</v>
      </c>
      <c r="AC425" s="12" t="b">
        <f t="shared" si="161"/>
        <v>1</v>
      </c>
      <c r="AD425" s="12" t="b">
        <f t="shared" si="162"/>
        <v>1</v>
      </c>
      <c r="AE425" s="12" t="b">
        <f t="shared" si="163"/>
        <v>1</v>
      </c>
      <c r="AF425" s="12" t="b">
        <f t="shared" si="164"/>
        <v>1</v>
      </c>
    </row>
    <row r="426" spans="1:32" s="44" customFormat="1" ht="17.25" customHeight="1">
      <c r="A426" s="285"/>
      <c r="B426" s="65" t="s">
        <v>133</v>
      </c>
      <c r="C426" s="56" t="s">
        <v>102</v>
      </c>
      <c r="D426" s="57" t="s">
        <v>104</v>
      </c>
      <c r="E426" s="57" t="s">
        <v>85</v>
      </c>
      <c r="F426" s="57" t="s">
        <v>335</v>
      </c>
      <c r="G426" s="57" t="s">
        <v>19</v>
      </c>
      <c r="H426" s="58">
        <f>153535.73+947.89</f>
        <v>154483.62000000002</v>
      </c>
      <c r="I426" s="58">
        <f>156497.46+947.89</f>
        <v>157445.35</v>
      </c>
      <c r="J426" s="58">
        <f>156781.49+947.89</f>
        <v>157729.38</v>
      </c>
      <c r="K426" s="58">
        <v>154483.62000000002</v>
      </c>
      <c r="L426" s="58">
        <v>157445.35</v>
      </c>
      <c r="M426" s="58">
        <v>157729.38</v>
      </c>
      <c r="N426" s="43">
        <f t="shared" si="168"/>
        <v>0</v>
      </c>
      <c r="O426" s="58">
        <v>153535.73000000001</v>
      </c>
      <c r="P426" s="58">
        <v>156497.46</v>
      </c>
      <c r="Q426" s="58">
        <v>156781.49</v>
      </c>
      <c r="R426" s="472">
        <f t="shared" si="156"/>
        <v>947.89000000001397</v>
      </c>
      <c r="S426" s="472">
        <f t="shared" si="157"/>
        <v>947.89000000001397</v>
      </c>
      <c r="T426" s="472">
        <f t="shared" si="158"/>
        <v>947.89000000001397</v>
      </c>
      <c r="U426" s="65" t="s">
        <v>133</v>
      </c>
      <c r="V426" s="56" t="s">
        <v>102</v>
      </c>
      <c r="W426" s="57" t="s">
        <v>104</v>
      </c>
      <c r="X426" s="57" t="s">
        <v>85</v>
      </c>
      <c r="Y426" s="57" t="s">
        <v>335</v>
      </c>
      <c r="Z426" s="57" t="s">
        <v>19</v>
      </c>
      <c r="AA426" s="12" t="b">
        <f t="shared" si="159"/>
        <v>1</v>
      </c>
      <c r="AB426" s="12" t="b">
        <f t="shared" si="160"/>
        <v>1</v>
      </c>
      <c r="AC426" s="12" t="b">
        <f t="shared" si="161"/>
        <v>1</v>
      </c>
      <c r="AD426" s="12" t="b">
        <f t="shared" si="162"/>
        <v>1</v>
      </c>
      <c r="AE426" s="12" t="b">
        <f t="shared" si="163"/>
        <v>1</v>
      </c>
      <c r="AF426" s="12" t="b">
        <f t="shared" si="164"/>
        <v>1</v>
      </c>
    </row>
    <row r="427" spans="1:32" s="44" customFormat="1" ht="16.5" customHeight="1">
      <c r="A427" s="285"/>
      <c r="B427" s="182" t="s">
        <v>541</v>
      </c>
      <c r="C427" s="36" t="s">
        <v>102</v>
      </c>
      <c r="D427" s="37" t="s">
        <v>104</v>
      </c>
      <c r="E427" s="57" t="s">
        <v>85</v>
      </c>
      <c r="F427" s="37" t="s">
        <v>321</v>
      </c>
      <c r="G427" s="37" t="s">
        <v>90</v>
      </c>
      <c r="H427" s="183">
        <f>H428</f>
        <v>169.29</v>
      </c>
      <c r="I427" s="183">
        <f>I428</f>
        <v>169.29</v>
      </c>
      <c r="J427" s="183">
        <f>J428</f>
        <v>0</v>
      </c>
      <c r="K427" s="183">
        <v>169.29</v>
      </c>
      <c r="L427" s="183">
        <v>169.29</v>
      </c>
      <c r="M427" s="183">
        <v>0</v>
      </c>
      <c r="N427" s="43">
        <f t="shared" si="168"/>
        <v>0</v>
      </c>
      <c r="O427" s="183">
        <v>169.29</v>
      </c>
      <c r="P427" s="183">
        <v>169.29</v>
      </c>
      <c r="Q427" s="183">
        <v>169.29</v>
      </c>
      <c r="R427" s="472">
        <f t="shared" si="156"/>
        <v>0</v>
      </c>
      <c r="S427" s="472">
        <f t="shared" si="157"/>
        <v>0</v>
      </c>
      <c r="T427" s="472">
        <f t="shared" si="158"/>
        <v>-169.29</v>
      </c>
      <c r="U427" s="182" t="s">
        <v>541</v>
      </c>
      <c r="V427" s="36" t="s">
        <v>102</v>
      </c>
      <c r="W427" s="37" t="s">
        <v>104</v>
      </c>
      <c r="X427" s="57" t="s">
        <v>85</v>
      </c>
      <c r="Y427" s="37" t="s">
        <v>321</v>
      </c>
      <c r="Z427" s="37" t="s">
        <v>90</v>
      </c>
      <c r="AA427" s="12" t="b">
        <f t="shared" si="159"/>
        <v>1</v>
      </c>
      <c r="AB427" s="12" t="b">
        <f t="shared" si="160"/>
        <v>1</v>
      </c>
      <c r="AC427" s="12" t="b">
        <f t="shared" si="161"/>
        <v>1</v>
      </c>
      <c r="AD427" s="12" t="b">
        <f t="shared" si="162"/>
        <v>1</v>
      </c>
      <c r="AE427" s="12" t="b">
        <f t="shared" si="163"/>
        <v>1</v>
      </c>
      <c r="AF427" s="12" t="b">
        <f t="shared" si="164"/>
        <v>1</v>
      </c>
    </row>
    <row r="428" spans="1:32" s="44" customFormat="1" ht="17.25" customHeight="1">
      <c r="A428" s="285"/>
      <c r="B428" s="65" t="s">
        <v>254</v>
      </c>
      <c r="C428" s="56" t="s">
        <v>102</v>
      </c>
      <c r="D428" s="57" t="s">
        <v>104</v>
      </c>
      <c r="E428" s="57" t="s">
        <v>85</v>
      </c>
      <c r="F428" s="57" t="s">
        <v>322</v>
      </c>
      <c r="G428" s="57" t="s">
        <v>90</v>
      </c>
      <c r="H428" s="183">
        <f>H429</f>
        <v>169.29</v>
      </c>
      <c r="I428" s="183">
        <f t="shared" ref="I428:J428" si="178">I429</f>
        <v>169.29</v>
      </c>
      <c r="J428" s="183">
        <f t="shared" si="178"/>
        <v>0</v>
      </c>
      <c r="K428" s="183">
        <v>169.29</v>
      </c>
      <c r="L428" s="183">
        <v>169.29</v>
      </c>
      <c r="M428" s="183">
        <v>0</v>
      </c>
      <c r="N428" s="43">
        <f t="shared" si="168"/>
        <v>0</v>
      </c>
      <c r="O428" s="183">
        <v>169.29</v>
      </c>
      <c r="P428" s="183">
        <v>169.29</v>
      </c>
      <c r="Q428" s="183">
        <v>169.29</v>
      </c>
      <c r="R428" s="472">
        <f t="shared" si="156"/>
        <v>0</v>
      </c>
      <c r="S428" s="472">
        <f t="shared" si="157"/>
        <v>0</v>
      </c>
      <c r="T428" s="472">
        <f t="shared" si="158"/>
        <v>-169.29</v>
      </c>
      <c r="U428" s="65" t="s">
        <v>254</v>
      </c>
      <c r="V428" s="56" t="s">
        <v>102</v>
      </c>
      <c r="W428" s="57" t="s">
        <v>104</v>
      </c>
      <c r="X428" s="57" t="s">
        <v>85</v>
      </c>
      <c r="Y428" s="57" t="s">
        <v>322</v>
      </c>
      <c r="Z428" s="57" t="s">
        <v>90</v>
      </c>
      <c r="AA428" s="12" t="b">
        <f t="shared" si="159"/>
        <v>1</v>
      </c>
      <c r="AB428" s="12" t="b">
        <f t="shared" si="160"/>
        <v>1</v>
      </c>
      <c r="AC428" s="12" t="b">
        <f t="shared" si="161"/>
        <v>1</v>
      </c>
      <c r="AD428" s="12" t="b">
        <f t="shared" si="162"/>
        <v>1</v>
      </c>
      <c r="AE428" s="12" t="b">
        <f t="shared" si="163"/>
        <v>1</v>
      </c>
      <c r="AF428" s="12" t="b">
        <f t="shared" si="164"/>
        <v>1</v>
      </c>
    </row>
    <row r="429" spans="1:32" s="44" customFormat="1" ht="17.25" customHeight="1">
      <c r="A429" s="285"/>
      <c r="B429" s="23" t="s">
        <v>133</v>
      </c>
      <c r="C429" s="36" t="s">
        <v>102</v>
      </c>
      <c r="D429" s="37" t="s">
        <v>104</v>
      </c>
      <c r="E429" s="37" t="s">
        <v>85</v>
      </c>
      <c r="F429" s="37" t="s">
        <v>322</v>
      </c>
      <c r="G429" s="37" t="s">
        <v>19</v>
      </c>
      <c r="H429" s="183">
        <v>169.29</v>
      </c>
      <c r="I429" s="183">
        <v>169.29</v>
      </c>
      <c r="J429" s="183">
        <f>169.29-169.29</f>
        <v>0</v>
      </c>
      <c r="K429" s="183">
        <v>169.29</v>
      </c>
      <c r="L429" s="183">
        <v>169.29</v>
      </c>
      <c r="M429" s="183">
        <v>0</v>
      </c>
      <c r="N429" s="43">
        <f t="shared" si="168"/>
        <v>0</v>
      </c>
      <c r="O429" s="183">
        <v>169.29</v>
      </c>
      <c r="P429" s="183">
        <v>169.29</v>
      </c>
      <c r="Q429" s="183">
        <v>169.29</v>
      </c>
      <c r="R429" s="472">
        <f t="shared" si="156"/>
        <v>0</v>
      </c>
      <c r="S429" s="472">
        <f t="shared" si="157"/>
        <v>0</v>
      </c>
      <c r="T429" s="472">
        <f t="shared" si="158"/>
        <v>-169.29</v>
      </c>
      <c r="U429" s="23" t="s">
        <v>133</v>
      </c>
      <c r="V429" s="36" t="s">
        <v>102</v>
      </c>
      <c r="W429" s="37" t="s">
        <v>104</v>
      </c>
      <c r="X429" s="37" t="s">
        <v>85</v>
      </c>
      <c r="Y429" s="37" t="s">
        <v>322</v>
      </c>
      <c r="Z429" s="37" t="s">
        <v>19</v>
      </c>
      <c r="AA429" s="12" t="b">
        <f t="shared" si="159"/>
        <v>1</v>
      </c>
      <c r="AB429" s="12" t="b">
        <f t="shared" si="160"/>
        <v>1</v>
      </c>
      <c r="AC429" s="12" t="b">
        <f t="shared" si="161"/>
        <v>1</v>
      </c>
      <c r="AD429" s="12" t="b">
        <f t="shared" si="162"/>
        <v>1</v>
      </c>
      <c r="AE429" s="12" t="b">
        <f t="shared" si="163"/>
        <v>1</v>
      </c>
      <c r="AF429" s="12" t="b">
        <f t="shared" si="164"/>
        <v>1</v>
      </c>
    </row>
    <row r="430" spans="1:32" s="44" customFormat="1" ht="17.25" customHeight="1">
      <c r="A430" s="285"/>
      <c r="B430" s="22" t="s">
        <v>667</v>
      </c>
      <c r="C430" s="36" t="s">
        <v>102</v>
      </c>
      <c r="D430" s="37" t="s">
        <v>104</v>
      </c>
      <c r="E430" s="57" t="s">
        <v>85</v>
      </c>
      <c r="F430" s="37" t="s">
        <v>255</v>
      </c>
      <c r="G430" s="37" t="s">
        <v>90</v>
      </c>
      <c r="H430" s="183">
        <f>H436+H440+H431</f>
        <v>6439.34</v>
      </c>
      <c r="I430" s="183">
        <f>I436+I440+I431</f>
        <v>6439.34</v>
      </c>
      <c r="J430" s="183">
        <f>J436+J440+J431</f>
        <v>6439.34</v>
      </c>
      <c r="K430" s="183">
        <v>6439.34</v>
      </c>
      <c r="L430" s="183">
        <v>6439.34</v>
      </c>
      <c r="M430" s="183">
        <v>6439.34</v>
      </c>
      <c r="N430" s="43">
        <f t="shared" si="168"/>
        <v>0</v>
      </c>
      <c r="O430" s="183">
        <v>6439.34</v>
      </c>
      <c r="P430" s="183">
        <v>6439.34</v>
      </c>
      <c r="Q430" s="183">
        <v>6439.34</v>
      </c>
      <c r="R430" s="472">
        <f t="shared" si="156"/>
        <v>0</v>
      </c>
      <c r="S430" s="472">
        <f t="shared" si="157"/>
        <v>0</v>
      </c>
      <c r="T430" s="472">
        <f t="shared" si="158"/>
        <v>0</v>
      </c>
      <c r="U430" s="22" t="s">
        <v>667</v>
      </c>
      <c r="V430" s="36" t="s">
        <v>102</v>
      </c>
      <c r="W430" s="37" t="s">
        <v>104</v>
      </c>
      <c r="X430" s="57" t="s">
        <v>85</v>
      </c>
      <c r="Y430" s="37" t="s">
        <v>255</v>
      </c>
      <c r="Z430" s="37" t="s">
        <v>90</v>
      </c>
      <c r="AA430" s="12" t="b">
        <f t="shared" si="159"/>
        <v>1</v>
      </c>
      <c r="AB430" s="12" t="b">
        <f t="shared" si="160"/>
        <v>1</v>
      </c>
      <c r="AC430" s="12" t="b">
        <f t="shared" si="161"/>
        <v>1</v>
      </c>
      <c r="AD430" s="12" t="b">
        <f t="shared" si="162"/>
        <v>1</v>
      </c>
      <c r="AE430" s="12" t="b">
        <f t="shared" si="163"/>
        <v>1</v>
      </c>
      <c r="AF430" s="12" t="b">
        <f t="shared" si="164"/>
        <v>1</v>
      </c>
    </row>
    <row r="431" spans="1:32" s="44" customFormat="1" ht="17.25" customHeight="1">
      <c r="A431" s="285"/>
      <c r="B431" s="182" t="s">
        <v>814</v>
      </c>
      <c r="C431" s="36" t="s">
        <v>102</v>
      </c>
      <c r="D431" s="37" t="s">
        <v>104</v>
      </c>
      <c r="E431" s="57" t="s">
        <v>85</v>
      </c>
      <c r="F431" s="37" t="s">
        <v>256</v>
      </c>
      <c r="G431" s="37" t="s">
        <v>90</v>
      </c>
      <c r="H431" s="183">
        <f t="shared" ref="H431:J432" si="179">H432</f>
        <v>6319.34</v>
      </c>
      <c r="I431" s="183">
        <f t="shared" si="179"/>
        <v>6319.34</v>
      </c>
      <c r="J431" s="183">
        <f t="shared" si="179"/>
        <v>6319.34</v>
      </c>
      <c r="K431" s="183">
        <v>6319.34</v>
      </c>
      <c r="L431" s="183">
        <v>6319.34</v>
      </c>
      <c r="M431" s="183">
        <v>6319.34</v>
      </c>
      <c r="N431" s="43">
        <f t="shared" si="168"/>
        <v>0</v>
      </c>
      <c r="O431" s="183">
        <v>6319.34</v>
      </c>
      <c r="P431" s="183">
        <v>6319.34</v>
      </c>
      <c r="Q431" s="183">
        <v>6319.34</v>
      </c>
      <c r="R431" s="472">
        <f t="shared" si="156"/>
        <v>0</v>
      </c>
      <c r="S431" s="472">
        <f t="shared" si="157"/>
        <v>0</v>
      </c>
      <c r="T431" s="472">
        <f t="shared" si="158"/>
        <v>0</v>
      </c>
      <c r="U431" s="182" t="s">
        <v>814</v>
      </c>
      <c r="V431" s="36" t="s">
        <v>102</v>
      </c>
      <c r="W431" s="37" t="s">
        <v>104</v>
      </c>
      <c r="X431" s="57" t="s">
        <v>85</v>
      </c>
      <c r="Y431" s="37" t="s">
        <v>256</v>
      </c>
      <c r="Z431" s="37" t="s">
        <v>90</v>
      </c>
      <c r="AA431" s="12" t="b">
        <f t="shared" si="159"/>
        <v>1</v>
      </c>
      <c r="AB431" s="12" t="b">
        <f t="shared" si="160"/>
        <v>1</v>
      </c>
      <c r="AC431" s="12" t="b">
        <f t="shared" si="161"/>
        <v>1</v>
      </c>
      <c r="AD431" s="12" t="b">
        <f t="shared" si="162"/>
        <v>1</v>
      </c>
      <c r="AE431" s="12" t="b">
        <f t="shared" si="163"/>
        <v>1</v>
      </c>
      <c r="AF431" s="12" t="b">
        <f t="shared" si="164"/>
        <v>1</v>
      </c>
    </row>
    <row r="432" spans="1:32" s="44" customFormat="1" ht="17.25" customHeight="1">
      <c r="A432" s="285"/>
      <c r="B432" s="182" t="s">
        <v>1023</v>
      </c>
      <c r="C432" s="36" t="s">
        <v>102</v>
      </c>
      <c r="D432" s="37" t="s">
        <v>104</v>
      </c>
      <c r="E432" s="57" t="s">
        <v>85</v>
      </c>
      <c r="F432" s="37" t="s">
        <v>1022</v>
      </c>
      <c r="G432" s="37" t="s">
        <v>90</v>
      </c>
      <c r="H432" s="183">
        <f t="shared" si="179"/>
        <v>6319.34</v>
      </c>
      <c r="I432" s="183">
        <f t="shared" si="179"/>
        <v>6319.34</v>
      </c>
      <c r="J432" s="183">
        <f t="shared" si="179"/>
        <v>6319.34</v>
      </c>
      <c r="K432" s="183">
        <v>6319.34</v>
      </c>
      <c r="L432" s="183">
        <v>6319.34</v>
      </c>
      <c r="M432" s="183">
        <v>6319.34</v>
      </c>
      <c r="N432" s="43">
        <f t="shared" si="168"/>
        <v>0</v>
      </c>
      <c r="O432" s="183">
        <v>6319.34</v>
      </c>
      <c r="P432" s="183">
        <v>6319.34</v>
      </c>
      <c r="Q432" s="183">
        <v>6319.34</v>
      </c>
      <c r="R432" s="472">
        <f t="shared" si="156"/>
        <v>0</v>
      </c>
      <c r="S432" s="472">
        <f t="shared" si="157"/>
        <v>0</v>
      </c>
      <c r="T432" s="472">
        <f t="shared" si="158"/>
        <v>0</v>
      </c>
      <c r="U432" s="182" t="s">
        <v>1023</v>
      </c>
      <c r="V432" s="36" t="s">
        <v>102</v>
      </c>
      <c r="W432" s="37" t="s">
        <v>104</v>
      </c>
      <c r="X432" s="57" t="s">
        <v>85</v>
      </c>
      <c r="Y432" s="37" t="s">
        <v>1022</v>
      </c>
      <c r="Z432" s="37" t="s">
        <v>90</v>
      </c>
      <c r="AA432" s="12" t="b">
        <f t="shared" si="159"/>
        <v>1</v>
      </c>
      <c r="AB432" s="12" t="b">
        <f t="shared" si="160"/>
        <v>1</v>
      </c>
      <c r="AC432" s="12" t="b">
        <f t="shared" si="161"/>
        <v>1</v>
      </c>
      <c r="AD432" s="12" t="b">
        <f t="shared" si="162"/>
        <v>1</v>
      </c>
      <c r="AE432" s="12" t="b">
        <f t="shared" si="163"/>
        <v>1</v>
      </c>
      <c r="AF432" s="12" t="b">
        <f t="shared" si="164"/>
        <v>1</v>
      </c>
    </row>
    <row r="433" spans="1:32" s="44" customFormat="1" ht="17.25" customHeight="1">
      <c r="A433" s="285"/>
      <c r="B433" s="23" t="s">
        <v>1028</v>
      </c>
      <c r="C433" s="36" t="s">
        <v>102</v>
      </c>
      <c r="D433" s="37" t="s">
        <v>104</v>
      </c>
      <c r="E433" s="57" t="s">
        <v>85</v>
      </c>
      <c r="F433" s="37" t="s">
        <v>1027</v>
      </c>
      <c r="G433" s="37" t="s">
        <v>90</v>
      </c>
      <c r="H433" s="183">
        <f>H434+H435</f>
        <v>6319.34</v>
      </c>
      <c r="I433" s="183">
        <f>I434+I435</f>
        <v>6319.34</v>
      </c>
      <c r="J433" s="183">
        <f>J434+J435</f>
        <v>6319.34</v>
      </c>
      <c r="K433" s="183">
        <v>6319.34</v>
      </c>
      <c r="L433" s="183">
        <v>6319.34</v>
      </c>
      <c r="M433" s="183">
        <v>6319.34</v>
      </c>
      <c r="N433" s="43">
        <f t="shared" si="168"/>
        <v>0</v>
      </c>
      <c r="O433" s="183">
        <v>6319.34</v>
      </c>
      <c r="P433" s="183">
        <v>6319.34</v>
      </c>
      <c r="Q433" s="183">
        <v>6319.34</v>
      </c>
      <c r="R433" s="472">
        <f t="shared" si="156"/>
        <v>0</v>
      </c>
      <c r="S433" s="472">
        <f t="shared" si="157"/>
        <v>0</v>
      </c>
      <c r="T433" s="472">
        <f t="shared" si="158"/>
        <v>0</v>
      </c>
      <c r="U433" s="23" t="s">
        <v>1028</v>
      </c>
      <c r="V433" s="36" t="s">
        <v>102</v>
      </c>
      <c r="W433" s="37" t="s">
        <v>104</v>
      </c>
      <c r="X433" s="57" t="s">
        <v>85</v>
      </c>
      <c r="Y433" s="37" t="s">
        <v>1027</v>
      </c>
      <c r="Z433" s="37" t="s">
        <v>90</v>
      </c>
      <c r="AA433" s="12" t="b">
        <f t="shared" si="159"/>
        <v>1</v>
      </c>
      <c r="AB433" s="12" t="b">
        <f t="shared" si="160"/>
        <v>1</v>
      </c>
      <c r="AC433" s="12" t="b">
        <f t="shared" si="161"/>
        <v>1</v>
      </c>
      <c r="AD433" s="12" t="b">
        <f t="shared" si="162"/>
        <v>1</v>
      </c>
      <c r="AE433" s="12" t="b">
        <f t="shared" si="163"/>
        <v>1</v>
      </c>
      <c r="AF433" s="12" t="b">
        <f t="shared" si="164"/>
        <v>1</v>
      </c>
    </row>
    <row r="434" spans="1:32" s="44" customFormat="1" ht="17.25" customHeight="1">
      <c r="A434" s="285"/>
      <c r="B434" s="23" t="s">
        <v>132</v>
      </c>
      <c r="C434" s="36" t="s">
        <v>102</v>
      </c>
      <c r="D434" s="37" t="s">
        <v>104</v>
      </c>
      <c r="E434" s="37" t="s">
        <v>85</v>
      </c>
      <c r="F434" s="37" t="s">
        <v>1027</v>
      </c>
      <c r="G434" s="37" t="s">
        <v>171</v>
      </c>
      <c r="H434" s="183">
        <v>3797.7</v>
      </c>
      <c r="I434" s="183">
        <v>3797.7</v>
      </c>
      <c r="J434" s="183">
        <v>3797.7</v>
      </c>
      <c r="K434" s="183">
        <v>3797.7</v>
      </c>
      <c r="L434" s="183">
        <v>3797.7</v>
      </c>
      <c r="M434" s="183">
        <v>3797.7</v>
      </c>
      <c r="N434" s="43">
        <f t="shared" si="168"/>
        <v>0</v>
      </c>
      <c r="O434" s="183">
        <v>3797.7</v>
      </c>
      <c r="P434" s="183">
        <v>3797.7</v>
      </c>
      <c r="Q434" s="183">
        <v>3797.7</v>
      </c>
      <c r="R434" s="472">
        <f t="shared" si="156"/>
        <v>0</v>
      </c>
      <c r="S434" s="472">
        <f t="shared" si="157"/>
        <v>0</v>
      </c>
      <c r="T434" s="472">
        <f t="shared" si="158"/>
        <v>0</v>
      </c>
      <c r="U434" s="23" t="s">
        <v>132</v>
      </c>
      <c r="V434" s="36" t="s">
        <v>102</v>
      </c>
      <c r="W434" s="37" t="s">
        <v>104</v>
      </c>
      <c r="X434" s="37" t="s">
        <v>85</v>
      </c>
      <c r="Y434" s="37" t="s">
        <v>1027</v>
      </c>
      <c r="Z434" s="37" t="s">
        <v>171</v>
      </c>
      <c r="AA434" s="12" t="b">
        <f t="shared" si="159"/>
        <v>1</v>
      </c>
      <c r="AB434" s="12" t="b">
        <f t="shared" si="160"/>
        <v>1</v>
      </c>
      <c r="AC434" s="12" t="b">
        <f t="shared" si="161"/>
        <v>1</v>
      </c>
      <c r="AD434" s="12" t="b">
        <f t="shared" si="162"/>
        <v>1</v>
      </c>
      <c r="AE434" s="12" t="b">
        <f t="shared" si="163"/>
        <v>1</v>
      </c>
      <c r="AF434" s="12" t="b">
        <f t="shared" si="164"/>
        <v>1</v>
      </c>
    </row>
    <row r="435" spans="1:32" s="44" customFormat="1" ht="17.25" customHeight="1">
      <c r="A435" s="285"/>
      <c r="B435" s="23" t="s">
        <v>133</v>
      </c>
      <c r="C435" s="36" t="s">
        <v>102</v>
      </c>
      <c r="D435" s="37" t="s">
        <v>104</v>
      </c>
      <c r="E435" s="57" t="s">
        <v>85</v>
      </c>
      <c r="F435" s="37" t="s">
        <v>1027</v>
      </c>
      <c r="G435" s="37" t="s">
        <v>19</v>
      </c>
      <c r="H435" s="183">
        <v>2521.64</v>
      </c>
      <c r="I435" s="183">
        <v>2521.64</v>
      </c>
      <c r="J435" s="183">
        <v>2521.64</v>
      </c>
      <c r="K435" s="183">
        <v>2521.64</v>
      </c>
      <c r="L435" s="183">
        <v>2521.64</v>
      </c>
      <c r="M435" s="183">
        <v>2521.64</v>
      </c>
      <c r="N435" s="43">
        <f t="shared" si="168"/>
        <v>0</v>
      </c>
      <c r="O435" s="183">
        <v>2521.64</v>
      </c>
      <c r="P435" s="183">
        <v>2521.64</v>
      </c>
      <c r="Q435" s="183">
        <v>2521.64</v>
      </c>
      <c r="R435" s="472">
        <f t="shared" si="156"/>
        <v>0</v>
      </c>
      <c r="S435" s="472">
        <f t="shared" si="157"/>
        <v>0</v>
      </c>
      <c r="T435" s="472">
        <f t="shared" si="158"/>
        <v>0</v>
      </c>
      <c r="U435" s="23" t="s">
        <v>133</v>
      </c>
      <c r="V435" s="36" t="s">
        <v>102</v>
      </c>
      <c r="W435" s="37" t="s">
        <v>104</v>
      </c>
      <c r="X435" s="57" t="s">
        <v>85</v>
      </c>
      <c r="Y435" s="37" t="s">
        <v>1027</v>
      </c>
      <c r="Z435" s="37" t="s">
        <v>19</v>
      </c>
      <c r="AA435" s="12" t="b">
        <f t="shared" si="159"/>
        <v>1</v>
      </c>
      <c r="AB435" s="12" t="b">
        <f t="shared" si="160"/>
        <v>1</v>
      </c>
      <c r="AC435" s="12" t="b">
        <f t="shared" si="161"/>
        <v>1</v>
      </c>
      <c r="AD435" s="12" t="b">
        <f t="shared" si="162"/>
        <v>1</v>
      </c>
      <c r="AE435" s="12" t="b">
        <f t="shared" si="163"/>
        <v>1</v>
      </c>
      <c r="AF435" s="12" t="b">
        <f t="shared" si="164"/>
        <v>1</v>
      </c>
    </row>
    <row r="436" spans="1:32" s="44" customFormat="1" ht="17.25" customHeight="1">
      <c r="A436" s="285"/>
      <c r="B436" s="182" t="s">
        <v>669</v>
      </c>
      <c r="C436" s="36" t="s">
        <v>102</v>
      </c>
      <c r="D436" s="37" t="s">
        <v>104</v>
      </c>
      <c r="E436" s="57" t="s">
        <v>85</v>
      </c>
      <c r="F436" s="37" t="s">
        <v>257</v>
      </c>
      <c r="G436" s="37" t="s">
        <v>90</v>
      </c>
      <c r="H436" s="183">
        <f t="shared" ref="H436:J438" si="180">H437</f>
        <v>100</v>
      </c>
      <c r="I436" s="183">
        <f t="shared" si="180"/>
        <v>100</v>
      </c>
      <c r="J436" s="183">
        <f t="shared" si="180"/>
        <v>100</v>
      </c>
      <c r="K436" s="183">
        <v>100</v>
      </c>
      <c r="L436" s="183">
        <v>100</v>
      </c>
      <c r="M436" s="183">
        <v>100</v>
      </c>
      <c r="N436" s="43">
        <f t="shared" si="168"/>
        <v>0</v>
      </c>
      <c r="O436" s="183">
        <v>100</v>
      </c>
      <c r="P436" s="183">
        <v>100</v>
      </c>
      <c r="Q436" s="183">
        <v>100</v>
      </c>
      <c r="R436" s="472">
        <f t="shared" si="156"/>
        <v>0</v>
      </c>
      <c r="S436" s="472">
        <f t="shared" si="157"/>
        <v>0</v>
      </c>
      <c r="T436" s="472">
        <f t="shared" si="158"/>
        <v>0</v>
      </c>
      <c r="U436" s="182" t="s">
        <v>669</v>
      </c>
      <c r="V436" s="36" t="s">
        <v>102</v>
      </c>
      <c r="W436" s="37" t="s">
        <v>104</v>
      </c>
      <c r="X436" s="57" t="s">
        <v>85</v>
      </c>
      <c r="Y436" s="37" t="s">
        <v>257</v>
      </c>
      <c r="Z436" s="37" t="s">
        <v>90</v>
      </c>
      <c r="AA436" s="12" t="b">
        <f t="shared" si="159"/>
        <v>1</v>
      </c>
      <c r="AB436" s="12" t="b">
        <f t="shared" si="160"/>
        <v>1</v>
      </c>
      <c r="AC436" s="12" t="b">
        <f t="shared" si="161"/>
        <v>1</v>
      </c>
      <c r="AD436" s="12" t="b">
        <f t="shared" si="162"/>
        <v>1</v>
      </c>
      <c r="AE436" s="12" t="b">
        <f t="shared" si="163"/>
        <v>1</v>
      </c>
      <c r="AF436" s="12" t="b">
        <f t="shared" si="164"/>
        <v>1</v>
      </c>
    </row>
    <row r="437" spans="1:32" s="44" customFormat="1" ht="17.25" customHeight="1">
      <c r="A437" s="285"/>
      <c r="B437" s="182" t="s">
        <v>533</v>
      </c>
      <c r="C437" s="36" t="s">
        <v>102</v>
      </c>
      <c r="D437" s="37" t="s">
        <v>104</v>
      </c>
      <c r="E437" s="57" t="s">
        <v>85</v>
      </c>
      <c r="F437" s="37" t="s">
        <v>680</v>
      </c>
      <c r="G437" s="37" t="s">
        <v>90</v>
      </c>
      <c r="H437" s="183">
        <f t="shared" si="180"/>
        <v>100</v>
      </c>
      <c r="I437" s="183">
        <f t="shared" si="180"/>
        <v>100</v>
      </c>
      <c r="J437" s="183">
        <f t="shared" si="180"/>
        <v>100</v>
      </c>
      <c r="K437" s="183">
        <v>100</v>
      </c>
      <c r="L437" s="183">
        <v>100</v>
      </c>
      <c r="M437" s="183">
        <v>100</v>
      </c>
      <c r="N437" s="43">
        <f t="shared" si="168"/>
        <v>0</v>
      </c>
      <c r="O437" s="183">
        <v>100</v>
      </c>
      <c r="P437" s="183">
        <v>100</v>
      </c>
      <c r="Q437" s="183">
        <v>100</v>
      </c>
      <c r="R437" s="472">
        <f t="shared" si="156"/>
        <v>0</v>
      </c>
      <c r="S437" s="472">
        <f t="shared" si="157"/>
        <v>0</v>
      </c>
      <c r="T437" s="472">
        <f t="shared" si="158"/>
        <v>0</v>
      </c>
      <c r="U437" s="182" t="s">
        <v>533</v>
      </c>
      <c r="V437" s="36" t="s">
        <v>102</v>
      </c>
      <c r="W437" s="37" t="s">
        <v>104</v>
      </c>
      <c r="X437" s="57" t="s">
        <v>85</v>
      </c>
      <c r="Y437" s="37" t="s">
        <v>680</v>
      </c>
      <c r="Z437" s="37" t="s">
        <v>90</v>
      </c>
      <c r="AA437" s="12" t="b">
        <f t="shared" si="159"/>
        <v>1</v>
      </c>
      <c r="AB437" s="12" t="b">
        <f t="shared" si="160"/>
        <v>1</v>
      </c>
      <c r="AC437" s="12" t="b">
        <f t="shared" si="161"/>
        <v>1</v>
      </c>
      <c r="AD437" s="12" t="b">
        <f t="shared" si="162"/>
        <v>1</v>
      </c>
      <c r="AE437" s="12" t="b">
        <f t="shared" si="163"/>
        <v>1</v>
      </c>
      <c r="AF437" s="12" t="b">
        <f t="shared" si="164"/>
        <v>1</v>
      </c>
    </row>
    <row r="438" spans="1:32" s="44" customFormat="1" ht="17.25" customHeight="1">
      <c r="A438" s="285"/>
      <c r="B438" s="182" t="s">
        <v>168</v>
      </c>
      <c r="C438" s="36" t="s">
        <v>102</v>
      </c>
      <c r="D438" s="37" t="s">
        <v>104</v>
      </c>
      <c r="E438" s="57" t="s">
        <v>85</v>
      </c>
      <c r="F438" s="37" t="s">
        <v>893</v>
      </c>
      <c r="G438" s="37" t="s">
        <v>90</v>
      </c>
      <c r="H438" s="183">
        <f t="shared" si="180"/>
        <v>100</v>
      </c>
      <c r="I438" s="183">
        <f t="shared" si="180"/>
        <v>100</v>
      </c>
      <c r="J438" s="183">
        <f t="shared" si="180"/>
        <v>100</v>
      </c>
      <c r="K438" s="183">
        <v>100</v>
      </c>
      <c r="L438" s="183">
        <v>100</v>
      </c>
      <c r="M438" s="183">
        <v>100</v>
      </c>
      <c r="N438" s="43">
        <f t="shared" ref="N438:N501" si="181">M438-J438</f>
        <v>0</v>
      </c>
      <c r="O438" s="183">
        <v>100</v>
      </c>
      <c r="P438" s="183">
        <v>100</v>
      </c>
      <c r="Q438" s="183">
        <v>100</v>
      </c>
      <c r="R438" s="472">
        <f t="shared" si="156"/>
        <v>0</v>
      </c>
      <c r="S438" s="472">
        <f t="shared" si="157"/>
        <v>0</v>
      </c>
      <c r="T438" s="472">
        <f t="shared" si="158"/>
        <v>0</v>
      </c>
      <c r="U438" s="182" t="s">
        <v>168</v>
      </c>
      <c r="V438" s="36" t="s">
        <v>102</v>
      </c>
      <c r="W438" s="37" t="s">
        <v>104</v>
      </c>
      <c r="X438" s="57" t="s">
        <v>85</v>
      </c>
      <c r="Y438" s="37" t="s">
        <v>893</v>
      </c>
      <c r="Z438" s="37" t="s">
        <v>90</v>
      </c>
      <c r="AA438" s="12" t="b">
        <f t="shared" si="159"/>
        <v>1</v>
      </c>
      <c r="AB438" s="12" t="b">
        <f t="shared" si="160"/>
        <v>1</v>
      </c>
      <c r="AC438" s="12" t="b">
        <f t="shared" si="161"/>
        <v>1</v>
      </c>
      <c r="AD438" s="12" t="b">
        <f t="shared" si="162"/>
        <v>1</v>
      </c>
      <c r="AE438" s="12" t="b">
        <f t="shared" si="163"/>
        <v>1</v>
      </c>
      <c r="AF438" s="12" t="b">
        <f t="shared" si="164"/>
        <v>1</v>
      </c>
    </row>
    <row r="439" spans="1:32" s="44" customFormat="1" ht="17.25" customHeight="1">
      <c r="A439" s="285"/>
      <c r="B439" s="178" t="s">
        <v>133</v>
      </c>
      <c r="C439" s="36" t="s">
        <v>102</v>
      </c>
      <c r="D439" s="37" t="s">
        <v>104</v>
      </c>
      <c r="E439" s="37" t="s">
        <v>85</v>
      </c>
      <c r="F439" s="37" t="s">
        <v>893</v>
      </c>
      <c r="G439" s="37" t="s">
        <v>19</v>
      </c>
      <c r="H439" s="183">
        <v>100</v>
      </c>
      <c r="I439" s="183">
        <v>100</v>
      </c>
      <c r="J439" s="183">
        <v>100</v>
      </c>
      <c r="K439" s="183">
        <v>100</v>
      </c>
      <c r="L439" s="183">
        <v>100</v>
      </c>
      <c r="M439" s="183">
        <v>100</v>
      </c>
      <c r="N439" s="43">
        <f t="shared" si="181"/>
        <v>0</v>
      </c>
      <c r="O439" s="183">
        <v>100</v>
      </c>
      <c r="P439" s="183">
        <v>100</v>
      </c>
      <c r="Q439" s="183">
        <v>100</v>
      </c>
      <c r="R439" s="472">
        <f t="shared" si="156"/>
        <v>0</v>
      </c>
      <c r="S439" s="472">
        <f t="shared" si="157"/>
        <v>0</v>
      </c>
      <c r="T439" s="472">
        <f t="shared" si="158"/>
        <v>0</v>
      </c>
      <c r="U439" s="178" t="s">
        <v>133</v>
      </c>
      <c r="V439" s="36" t="s">
        <v>102</v>
      </c>
      <c r="W439" s="37" t="s">
        <v>104</v>
      </c>
      <c r="X439" s="37" t="s">
        <v>85</v>
      </c>
      <c r="Y439" s="37" t="s">
        <v>893</v>
      </c>
      <c r="Z439" s="37" t="s">
        <v>19</v>
      </c>
      <c r="AA439" s="12" t="b">
        <f t="shared" si="159"/>
        <v>1</v>
      </c>
      <c r="AB439" s="12" t="b">
        <f t="shared" si="160"/>
        <v>1</v>
      </c>
      <c r="AC439" s="12" t="b">
        <f t="shared" si="161"/>
        <v>1</v>
      </c>
      <c r="AD439" s="12" t="b">
        <f t="shared" si="162"/>
        <v>1</v>
      </c>
      <c r="AE439" s="12" t="b">
        <f t="shared" si="163"/>
        <v>1</v>
      </c>
      <c r="AF439" s="12" t="b">
        <f t="shared" si="164"/>
        <v>1</v>
      </c>
    </row>
    <row r="440" spans="1:32" s="44" customFormat="1" ht="17.25" customHeight="1">
      <c r="A440" s="285"/>
      <c r="B440" s="22" t="s">
        <v>668</v>
      </c>
      <c r="C440" s="36" t="s">
        <v>102</v>
      </c>
      <c r="D440" s="37" t="s">
        <v>104</v>
      </c>
      <c r="E440" s="57" t="s">
        <v>85</v>
      </c>
      <c r="F440" s="37" t="s">
        <v>259</v>
      </c>
      <c r="G440" s="37" t="s">
        <v>90</v>
      </c>
      <c r="H440" s="183">
        <f t="shared" ref="H440:J441" si="182">H441</f>
        <v>20</v>
      </c>
      <c r="I440" s="183">
        <f t="shared" si="182"/>
        <v>20</v>
      </c>
      <c r="J440" s="183">
        <f t="shared" si="182"/>
        <v>20</v>
      </c>
      <c r="K440" s="183">
        <v>20</v>
      </c>
      <c r="L440" s="183">
        <v>20</v>
      </c>
      <c r="M440" s="183">
        <v>20</v>
      </c>
      <c r="N440" s="43">
        <f t="shared" si="181"/>
        <v>0</v>
      </c>
      <c r="O440" s="183">
        <v>20</v>
      </c>
      <c r="P440" s="183">
        <v>20</v>
      </c>
      <c r="Q440" s="183">
        <v>20</v>
      </c>
      <c r="R440" s="472">
        <f t="shared" si="156"/>
        <v>0</v>
      </c>
      <c r="S440" s="472">
        <f t="shared" si="157"/>
        <v>0</v>
      </c>
      <c r="T440" s="472">
        <f t="shared" si="158"/>
        <v>0</v>
      </c>
      <c r="U440" s="22" t="s">
        <v>668</v>
      </c>
      <c r="V440" s="36" t="s">
        <v>102</v>
      </c>
      <c r="W440" s="37" t="s">
        <v>104</v>
      </c>
      <c r="X440" s="57" t="s">
        <v>85</v>
      </c>
      <c r="Y440" s="37" t="s">
        <v>259</v>
      </c>
      <c r="Z440" s="37" t="s">
        <v>90</v>
      </c>
      <c r="AA440" s="12" t="b">
        <f t="shared" si="159"/>
        <v>1</v>
      </c>
      <c r="AB440" s="12" t="b">
        <f t="shared" si="160"/>
        <v>1</v>
      </c>
      <c r="AC440" s="12" t="b">
        <f t="shared" si="161"/>
        <v>1</v>
      </c>
      <c r="AD440" s="12" t="b">
        <f t="shared" si="162"/>
        <v>1</v>
      </c>
      <c r="AE440" s="12" t="b">
        <f t="shared" si="163"/>
        <v>1</v>
      </c>
      <c r="AF440" s="12" t="b">
        <f t="shared" si="164"/>
        <v>1</v>
      </c>
    </row>
    <row r="441" spans="1:32" s="44" customFormat="1" ht="17.25" customHeight="1">
      <c r="A441" s="285"/>
      <c r="B441" s="22" t="s">
        <v>528</v>
      </c>
      <c r="C441" s="36" t="s">
        <v>102</v>
      </c>
      <c r="D441" s="37" t="s">
        <v>104</v>
      </c>
      <c r="E441" s="57" t="s">
        <v>85</v>
      </c>
      <c r="F441" s="37" t="s">
        <v>469</v>
      </c>
      <c r="G441" s="37" t="s">
        <v>90</v>
      </c>
      <c r="H441" s="183">
        <f t="shared" si="182"/>
        <v>20</v>
      </c>
      <c r="I441" s="183">
        <f t="shared" si="182"/>
        <v>20</v>
      </c>
      <c r="J441" s="183">
        <f t="shared" si="182"/>
        <v>20</v>
      </c>
      <c r="K441" s="183">
        <v>20</v>
      </c>
      <c r="L441" s="183">
        <v>20</v>
      </c>
      <c r="M441" s="183">
        <v>20</v>
      </c>
      <c r="N441" s="43">
        <f t="shared" si="181"/>
        <v>0</v>
      </c>
      <c r="O441" s="183">
        <v>20</v>
      </c>
      <c r="P441" s="183">
        <v>20</v>
      </c>
      <c r="Q441" s="183">
        <v>20</v>
      </c>
      <c r="R441" s="472">
        <f t="shared" si="156"/>
        <v>0</v>
      </c>
      <c r="S441" s="472">
        <f t="shared" si="157"/>
        <v>0</v>
      </c>
      <c r="T441" s="472">
        <f t="shared" si="158"/>
        <v>0</v>
      </c>
      <c r="U441" s="22" t="s">
        <v>528</v>
      </c>
      <c r="V441" s="36" t="s">
        <v>102</v>
      </c>
      <c r="W441" s="37" t="s">
        <v>104</v>
      </c>
      <c r="X441" s="57" t="s">
        <v>85</v>
      </c>
      <c r="Y441" s="37" t="s">
        <v>469</v>
      </c>
      <c r="Z441" s="37" t="s">
        <v>90</v>
      </c>
      <c r="AA441" s="12" t="b">
        <f t="shared" si="159"/>
        <v>1</v>
      </c>
      <c r="AB441" s="12" t="b">
        <f t="shared" si="160"/>
        <v>1</v>
      </c>
      <c r="AC441" s="12" t="b">
        <f t="shared" si="161"/>
        <v>1</v>
      </c>
      <c r="AD441" s="12" t="b">
        <f t="shared" si="162"/>
        <v>1</v>
      </c>
      <c r="AE441" s="12" t="b">
        <f t="shared" si="163"/>
        <v>1</v>
      </c>
      <c r="AF441" s="12" t="b">
        <f t="shared" si="164"/>
        <v>1</v>
      </c>
    </row>
    <row r="442" spans="1:32" s="44" customFormat="1" ht="17.25" customHeight="1">
      <c r="A442" s="285"/>
      <c r="B442" s="54" t="s">
        <v>810</v>
      </c>
      <c r="C442" s="36" t="s">
        <v>102</v>
      </c>
      <c r="D442" s="37" t="s">
        <v>104</v>
      </c>
      <c r="E442" s="57" t="s">
        <v>85</v>
      </c>
      <c r="F442" s="37" t="s">
        <v>892</v>
      </c>
      <c r="G442" s="37" t="s">
        <v>90</v>
      </c>
      <c r="H442" s="183">
        <f>H443+H444</f>
        <v>20</v>
      </c>
      <c r="I442" s="183">
        <f>I443+I444</f>
        <v>20</v>
      </c>
      <c r="J442" s="183">
        <f>J443+J444</f>
        <v>20</v>
      </c>
      <c r="K442" s="183">
        <v>20</v>
      </c>
      <c r="L442" s="183">
        <v>20</v>
      </c>
      <c r="M442" s="183">
        <v>20</v>
      </c>
      <c r="N442" s="43">
        <f t="shared" si="181"/>
        <v>0</v>
      </c>
      <c r="O442" s="183">
        <v>20</v>
      </c>
      <c r="P442" s="183">
        <v>20</v>
      </c>
      <c r="Q442" s="183">
        <v>20</v>
      </c>
      <c r="R442" s="472">
        <f t="shared" si="156"/>
        <v>0</v>
      </c>
      <c r="S442" s="472">
        <f t="shared" si="157"/>
        <v>0</v>
      </c>
      <c r="T442" s="472">
        <f t="shared" si="158"/>
        <v>0</v>
      </c>
      <c r="U442" s="54" t="s">
        <v>810</v>
      </c>
      <c r="V442" s="36" t="s">
        <v>102</v>
      </c>
      <c r="W442" s="37" t="s">
        <v>104</v>
      </c>
      <c r="X442" s="57" t="s">
        <v>85</v>
      </c>
      <c r="Y442" s="37" t="s">
        <v>892</v>
      </c>
      <c r="Z442" s="37" t="s">
        <v>90</v>
      </c>
      <c r="AA442" s="12" t="b">
        <f t="shared" si="159"/>
        <v>1</v>
      </c>
      <c r="AB442" s="12" t="b">
        <f t="shared" si="160"/>
        <v>1</v>
      </c>
      <c r="AC442" s="12" t="b">
        <f t="shared" si="161"/>
        <v>1</v>
      </c>
      <c r="AD442" s="12" t="b">
        <f t="shared" si="162"/>
        <v>1</v>
      </c>
      <c r="AE442" s="12" t="b">
        <f t="shared" si="163"/>
        <v>1</v>
      </c>
      <c r="AF442" s="12" t="b">
        <f t="shared" si="164"/>
        <v>1</v>
      </c>
    </row>
    <row r="443" spans="1:32" s="44" customFormat="1" ht="17.25" customHeight="1">
      <c r="A443" s="285"/>
      <c r="B443" s="23" t="s">
        <v>132</v>
      </c>
      <c r="C443" s="36" t="s">
        <v>102</v>
      </c>
      <c r="D443" s="37" t="s">
        <v>104</v>
      </c>
      <c r="E443" s="37" t="s">
        <v>85</v>
      </c>
      <c r="F443" s="37" t="s">
        <v>892</v>
      </c>
      <c r="G443" s="37" t="s">
        <v>171</v>
      </c>
      <c r="H443" s="183">
        <v>10</v>
      </c>
      <c r="I443" s="183">
        <v>10</v>
      </c>
      <c r="J443" s="183">
        <v>10</v>
      </c>
      <c r="K443" s="183">
        <v>10</v>
      </c>
      <c r="L443" s="183">
        <v>10</v>
      </c>
      <c r="M443" s="183">
        <v>10</v>
      </c>
      <c r="N443" s="43">
        <f t="shared" si="181"/>
        <v>0</v>
      </c>
      <c r="O443" s="183">
        <v>10</v>
      </c>
      <c r="P443" s="183">
        <v>10</v>
      </c>
      <c r="Q443" s="183">
        <v>10</v>
      </c>
      <c r="R443" s="472">
        <f t="shared" si="156"/>
        <v>0</v>
      </c>
      <c r="S443" s="472">
        <f t="shared" si="157"/>
        <v>0</v>
      </c>
      <c r="T443" s="472">
        <f t="shared" si="158"/>
        <v>0</v>
      </c>
      <c r="U443" s="23" t="s">
        <v>132</v>
      </c>
      <c r="V443" s="36" t="s">
        <v>102</v>
      </c>
      <c r="W443" s="37" t="s">
        <v>104</v>
      </c>
      <c r="X443" s="37" t="s">
        <v>85</v>
      </c>
      <c r="Y443" s="37" t="s">
        <v>892</v>
      </c>
      <c r="Z443" s="37" t="s">
        <v>171</v>
      </c>
      <c r="AA443" s="12" t="b">
        <f t="shared" si="159"/>
        <v>1</v>
      </c>
      <c r="AB443" s="12" t="b">
        <f t="shared" si="160"/>
        <v>1</v>
      </c>
      <c r="AC443" s="12" t="b">
        <f t="shared" si="161"/>
        <v>1</v>
      </c>
      <c r="AD443" s="12" t="b">
        <f t="shared" si="162"/>
        <v>1</v>
      </c>
      <c r="AE443" s="12" t="b">
        <f t="shared" si="163"/>
        <v>1</v>
      </c>
      <c r="AF443" s="12" t="b">
        <f t="shared" si="164"/>
        <v>1</v>
      </c>
    </row>
    <row r="444" spans="1:32" s="44" customFormat="1" ht="17.25" customHeight="1">
      <c r="A444" s="285"/>
      <c r="B444" s="178" t="s">
        <v>133</v>
      </c>
      <c r="C444" s="36" t="s">
        <v>102</v>
      </c>
      <c r="D444" s="37" t="s">
        <v>104</v>
      </c>
      <c r="E444" s="37" t="s">
        <v>85</v>
      </c>
      <c r="F444" s="37" t="s">
        <v>892</v>
      </c>
      <c r="G444" s="37" t="s">
        <v>19</v>
      </c>
      <c r="H444" s="183">
        <v>10</v>
      </c>
      <c r="I444" s="183">
        <v>10</v>
      </c>
      <c r="J444" s="183">
        <v>10</v>
      </c>
      <c r="K444" s="183">
        <v>10</v>
      </c>
      <c r="L444" s="183">
        <v>10</v>
      </c>
      <c r="M444" s="183">
        <v>10</v>
      </c>
      <c r="N444" s="43">
        <f t="shared" si="181"/>
        <v>0</v>
      </c>
      <c r="O444" s="183">
        <v>10</v>
      </c>
      <c r="P444" s="183">
        <v>10</v>
      </c>
      <c r="Q444" s="183">
        <v>10</v>
      </c>
      <c r="R444" s="472">
        <f t="shared" si="156"/>
        <v>0</v>
      </c>
      <c r="S444" s="472">
        <f t="shared" si="157"/>
        <v>0</v>
      </c>
      <c r="T444" s="472">
        <f t="shared" si="158"/>
        <v>0</v>
      </c>
      <c r="U444" s="178" t="s">
        <v>133</v>
      </c>
      <c r="V444" s="36" t="s">
        <v>102</v>
      </c>
      <c r="W444" s="37" t="s">
        <v>104</v>
      </c>
      <c r="X444" s="37" t="s">
        <v>85</v>
      </c>
      <c r="Y444" s="37" t="s">
        <v>892</v>
      </c>
      <c r="Z444" s="37" t="s">
        <v>19</v>
      </c>
      <c r="AA444" s="12" t="b">
        <f t="shared" si="159"/>
        <v>1</v>
      </c>
      <c r="AB444" s="12" t="b">
        <f t="shared" si="160"/>
        <v>1</v>
      </c>
      <c r="AC444" s="12" t="b">
        <f t="shared" si="161"/>
        <v>1</v>
      </c>
      <c r="AD444" s="12" t="b">
        <f t="shared" si="162"/>
        <v>1</v>
      </c>
      <c r="AE444" s="12" t="b">
        <f t="shared" si="163"/>
        <v>1</v>
      </c>
      <c r="AF444" s="12" t="b">
        <f t="shared" si="164"/>
        <v>1</v>
      </c>
    </row>
    <row r="445" spans="1:32" s="44" customFormat="1" ht="17.25" customHeight="1">
      <c r="A445" s="285"/>
      <c r="B445" s="182" t="s">
        <v>1165</v>
      </c>
      <c r="C445" s="36" t="s">
        <v>102</v>
      </c>
      <c r="D445" s="57" t="s">
        <v>104</v>
      </c>
      <c r="E445" s="57" t="s">
        <v>85</v>
      </c>
      <c r="F445" s="37" t="s">
        <v>323</v>
      </c>
      <c r="G445" s="37" t="s">
        <v>90</v>
      </c>
      <c r="H445" s="183">
        <f t="shared" ref="H445:J447" si="183">H446</f>
        <v>5792.8899999999994</v>
      </c>
      <c r="I445" s="183">
        <f t="shared" si="183"/>
        <v>1344.2</v>
      </c>
      <c r="J445" s="183">
        <f t="shared" si="183"/>
        <v>1344.2</v>
      </c>
      <c r="K445" s="183">
        <v>5792.8899999999994</v>
      </c>
      <c r="L445" s="183">
        <v>1344.2</v>
      </c>
      <c r="M445" s="183">
        <v>1344.2</v>
      </c>
      <c r="N445" s="43">
        <f t="shared" si="181"/>
        <v>0</v>
      </c>
      <c r="O445" s="183">
        <v>5792.8899999999994</v>
      </c>
      <c r="P445" s="183">
        <v>1344.2</v>
      </c>
      <c r="Q445" s="183">
        <v>1344.2</v>
      </c>
      <c r="R445" s="472">
        <f t="shared" si="156"/>
        <v>0</v>
      </c>
      <c r="S445" s="472">
        <f t="shared" si="157"/>
        <v>0</v>
      </c>
      <c r="T445" s="472">
        <f t="shared" si="158"/>
        <v>0</v>
      </c>
      <c r="U445" s="182" t="s">
        <v>1165</v>
      </c>
      <c r="V445" s="36" t="s">
        <v>102</v>
      </c>
      <c r="W445" s="57" t="s">
        <v>104</v>
      </c>
      <c r="X445" s="57" t="s">
        <v>85</v>
      </c>
      <c r="Y445" s="37" t="s">
        <v>323</v>
      </c>
      <c r="Z445" s="37" t="s">
        <v>90</v>
      </c>
      <c r="AA445" s="12" t="b">
        <f t="shared" si="159"/>
        <v>1</v>
      </c>
      <c r="AB445" s="12" t="b">
        <f t="shared" si="160"/>
        <v>1</v>
      </c>
      <c r="AC445" s="12" t="b">
        <f t="shared" si="161"/>
        <v>1</v>
      </c>
      <c r="AD445" s="12" t="b">
        <f t="shared" si="162"/>
        <v>1</v>
      </c>
      <c r="AE445" s="12" t="b">
        <f t="shared" si="163"/>
        <v>1</v>
      </c>
      <c r="AF445" s="12" t="b">
        <f t="shared" si="164"/>
        <v>1</v>
      </c>
    </row>
    <row r="446" spans="1:32" s="44" customFormat="1" ht="17.25" customHeight="1">
      <c r="A446" s="285"/>
      <c r="B446" s="182" t="s">
        <v>1214</v>
      </c>
      <c r="C446" s="36" t="s">
        <v>102</v>
      </c>
      <c r="D446" s="57" t="s">
        <v>104</v>
      </c>
      <c r="E446" s="57" t="s">
        <v>85</v>
      </c>
      <c r="F446" s="37" t="s">
        <v>324</v>
      </c>
      <c r="G446" s="37" t="s">
        <v>90</v>
      </c>
      <c r="H446" s="183">
        <f t="shared" si="183"/>
        <v>5792.8899999999994</v>
      </c>
      <c r="I446" s="183">
        <f t="shared" si="183"/>
        <v>1344.2</v>
      </c>
      <c r="J446" s="183">
        <f t="shared" si="183"/>
        <v>1344.2</v>
      </c>
      <c r="K446" s="183">
        <v>5792.8899999999994</v>
      </c>
      <c r="L446" s="183">
        <v>1344.2</v>
      </c>
      <c r="M446" s="183">
        <v>1344.2</v>
      </c>
      <c r="N446" s="43">
        <f t="shared" si="181"/>
        <v>0</v>
      </c>
      <c r="O446" s="183">
        <v>5792.8899999999994</v>
      </c>
      <c r="P446" s="183">
        <v>1344.2</v>
      </c>
      <c r="Q446" s="183">
        <v>1344.2</v>
      </c>
      <c r="R446" s="472">
        <f t="shared" si="156"/>
        <v>0</v>
      </c>
      <c r="S446" s="472">
        <f t="shared" si="157"/>
        <v>0</v>
      </c>
      <c r="T446" s="472">
        <f t="shared" si="158"/>
        <v>0</v>
      </c>
      <c r="U446" s="495" t="s">
        <v>1214</v>
      </c>
      <c r="V446" s="36" t="s">
        <v>102</v>
      </c>
      <c r="W446" s="57" t="s">
        <v>104</v>
      </c>
      <c r="X446" s="57" t="s">
        <v>85</v>
      </c>
      <c r="Y446" s="37" t="s">
        <v>324</v>
      </c>
      <c r="Z446" s="37" t="s">
        <v>90</v>
      </c>
      <c r="AA446" s="12" t="b">
        <f t="shared" si="159"/>
        <v>1</v>
      </c>
      <c r="AB446" s="12" t="b">
        <f t="shared" si="160"/>
        <v>1</v>
      </c>
      <c r="AC446" s="12" t="b">
        <f t="shared" si="161"/>
        <v>1</v>
      </c>
      <c r="AD446" s="12" t="b">
        <f t="shared" si="162"/>
        <v>1</v>
      </c>
      <c r="AE446" s="12" t="b">
        <f t="shared" si="163"/>
        <v>1</v>
      </c>
      <c r="AF446" s="12" t="b">
        <f t="shared" si="164"/>
        <v>1</v>
      </c>
    </row>
    <row r="447" spans="1:32" s="44" customFormat="1" ht="17.25" customHeight="1">
      <c r="A447" s="285"/>
      <c r="B447" s="182" t="s">
        <v>573</v>
      </c>
      <c r="C447" s="36" t="s">
        <v>102</v>
      </c>
      <c r="D447" s="57" t="s">
        <v>104</v>
      </c>
      <c r="E447" s="57" t="s">
        <v>85</v>
      </c>
      <c r="F447" s="37" t="s">
        <v>526</v>
      </c>
      <c r="G447" s="37" t="s">
        <v>90</v>
      </c>
      <c r="H447" s="183">
        <f t="shared" si="183"/>
        <v>5792.8899999999994</v>
      </c>
      <c r="I447" s="183">
        <f t="shared" si="183"/>
        <v>1344.2</v>
      </c>
      <c r="J447" s="183">
        <f t="shared" si="183"/>
        <v>1344.2</v>
      </c>
      <c r="K447" s="183">
        <v>5792.8899999999994</v>
      </c>
      <c r="L447" s="183">
        <v>1344.2</v>
      </c>
      <c r="M447" s="183">
        <v>1344.2</v>
      </c>
      <c r="N447" s="43">
        <f t="shared" si="181"/>
        <v>0</v>
      </c>
      <c r="O447" s="183">
        <v>5792.8899999999994</v>
      </c>
      <c r="P447" s="183">
        <v>1344.2</v>
      </c>
      <c r="Q447" s="183">
        <v>1344.2</v>
      </c>
      <c r="R447" s="472">
        <f t="shared" ref="R447:R453" si="184">H447-O447</f>
        <v>0</v>
      </c>
      <c r="S447" s="472">
        <f t="shared" ref="S447:S453" si="185">I447-P447</f>
        <v>0</v>
      </c>
      <c r="T447" s="472">
        <f t="shared" ref="T447:T453" si="186">J447-Q447</f>
        <v>0</v>
      </c>
      <c r="U447" s="182" t="s">
        <v>573</v>
      </c>
      <c r="V447" s="36" t="s">
        <v>102</v>
      </c>
      <c r="W447" s="57" t="s">
        <v>104</v>
      </c>
      <c r="X447" s="57" t="s">
        <v>85</v>
      </c>
      <c r="Y447" s="37" t="s">
        <v>526</v>
      </c>
      <c r="Z447" s="37" t="s">
        <v>90</v>
      </c>
      <c r="AA447" s="12" t="b">
        <f t="shared" si="159"/>
        <v>1</v>
      </c>
      <c r="AB447" s="12" t="b">
        <f t="shared" si="160"/>
        <v>1</v>
      </c>
      <c r="AC447" s="12" t="b">
        <f t="shared" si="161"/>
        <v>1</v>
      </c>
      <c r="AD447" s="12" t="b">
        <f t="shared" si="162"/>
        <v>1</v>
      </c>
      <c r="AE447" s="12" t="b">
        <f t="shared" si="163"/>
        <v>1</v>
      </c>
      <c r="AF447" s="12" t="b">
        <f t="shared" si="164"/>
        <v>1</v>
      </c>
    </row>
    <row r="448" spans="1:32" s="44" customFormat="1" ht="17.25" customHeight="1">
      <c r="A448" s="285"/>
      <c r="B448" s="182" t="s">
        <v>202</v>
      </c>
      <c r="C448" s="36" t="s">
        <v>102</v>
      </c>
      <c r="D448" s="57" t="s">
        <v>104</v>
      </c>
      <c r="E448" s="57" t="s">
        <v>85</v>
      </c>
      <c r="F448" s="37" t="s">
        <v>527</v>
      </c>
      <c r="G448" s="37" t="s">
        <v>90</v>
      </c>
      <c r="H448" s="183">
        <f>SUM(H449:H450)</f>
        <v>5792.8899999999994</v>
      </c>
      <c r="I448" s="183">
        <f>SUM(I449:I450)</f>
        <v>1344.2</v>
      </c>
      <c r="J448" s="183">
        <f>SUM(J449:J450)</f>
        <v>1344.2</v>
      </c>
      <c r="K448" s="183">
        <v>5792.8899999999994</v>
      </c>
      <c r="L448" s="183">
        <v>1344.2</v>
      </c>
      <c r="M448" s="183">
        <v>1344.2</v>
      </c>
      <c r="N448" s="43">
        <f t="shared" si="181"/>
        <v>0</v>
      </c>
      <c r="O448" s="183">
        <v>5792.8899999999994</v>
      </c>
      <c r="P448" s="183">
        <v>1344.2</v>
      </c>
      <c r="Q448" s="183">
        <v>1344.2</v>
      </c>
      <c r="R448" s="472">
        <f t="shared" si="184"/>
        <v>0</v>
      </c>
      <c r="S448" s="472">
        <f t="shared" si="185"/>
        <v>0</v>
      </c>
      <c r="T448" s="472">
        <f t="shared" si="186"/>
        <v>0</v>
      </c>
      <c r="U448" s="182" t="s">
        <v>202</v>
      </c>
      <c r="V448" s="36" t="s">
        <v>102</v>
      </c>
      <c r="W448" s="57" t="s">
        <v>104</v>
      </c>
      <c r="X448" s="57" t="s">
        <v>85</v>
      </c>
      <c r="Y448" s="37" t="s">
        <v>527</v>
      </c>
      <c r="Z448" s="37" t="s">
        <v>90</v>
      </c>
      <c r="AA448" s="12" t="b">
        <f t="shared" ref="AA448:AA511" si="187">B448=U448</f>
        <v>1</v>
      </c>
      <c r="AB448" s="12" t="b">
        <f t="shared" ref="AB448:AB511" si="188">C448=V448</f>
        <v>1</v>
      </c>
      <c r="AC448" s="12" t="b">
        <f t="shared" ref="AC448:AC511" si="189">D448=W448</f>
        <v>1</v>
      </c>
      <c r="AD448" s="12" t="b">
        <f t="shared" ref="AD448:AD511" si="190">E448=X448</f>
        <v>1</v>
      </c>
      <c r="AE448" s="12" t="b">
        <f t="shared" ref="AE448:AE511" si="191">F448=Y448</f>
        <v>1</v>
      </c>
      <c r="AF448" s="12" t="b">
        <f t="shared" ref="AF448:AF511" si="192">G448=Z448</f>
        <v>1</v>
      </c>
    </row>
    <row r="449" spans="1:32" s="44" customFormat="1" ht="17.25" customHeight="1">
      <c r="A449" s="285"/>
      <c r="B449" s="23" t="s">
        <v>132</v>
      </c>
      <c r="C449" s="36" t="s">
        <v>102</v>
      </c>
      <c r="D449" s="37" t="s">
        <v>104</v>
      </c>
      <c r="E449" s="37" t="s">
        <v>85</v>
      </c>
      <c r="F449" s="37" t="s">
        <v>527</v>
      </c>
      <c r="G449" s="37" t="s">
        <v>171</v>
      </c>
      <c r="H449" s="183">
        <v>1077.4000000000001</v>
      </c>
      <c r="I449" s="183">
        <v>1077.4000000000001</v>
      </c>
      <c r="J449" s="183">
        <v>1077.4000000000001</v>
      </c>
      <c r="K449" s="183">
        <v>1077.4000000000001</v>
      </c>
      <c r="L449" s="183">
        <v>1077.4000000000001</v>
      </c>
      <c r="M449" s="183">
        <v>1077.4000000000001</v>
      </c>
      <c r="N449" s="43">
        <f t="shared" si="181"/>
        <v>0</v>
      </c>
      <c r="O449" s="183">
        <v>1077.4000000000001</v>
      </c>
      <c r="P449" s="183">
        <v>1077.4000000000001</v>
      </c>
      <c r="Q449" s="183">
        <v>1077.4000000000001</v>
      </c>
      <c r="R449" s="472">
        <f t="shared" si="184"/>
        <v>0</v>
      </c>
      <c r="S449" s="472">
        <f t="shared" si="185"/>
        <v>0</v>
      </c>
      <c r="T449" s="472">
        <f t="shared" si="186"/>
        <v>0</v>
      </c>
      <c r="U449" s="23" t="s">
        <v>132</v>
      </c>
      <c r="V449" s="36" t="s">
        <v>102</v>
      </c>
      <c r="W449" s="37" t="s">
        <v>104</v>
      </c>
      <c r="X449" s="37" t="s">
        <v>85</v>
      </c>
      <c r="Y449" s="37" t="s">
        <v>527</v>
      </c>
      <c r="Z449" s="37" t="s">
        <v>171</v>
      </c>
      <c r="AA449" s="12" t="b">
        <f t="shared" si="187"/>
        <v>1</v>
      </c>
      <c r="AB449" s="12" t="b">
        <f t="shared" si="188"/>
        <v>1</v>
      </c>
      <c r="AC449" s="12" t="b">
        <f t="shared" si="189"/>
        <v>1</v>
      </c>
      <c r="AD449" s="12" t="b">
        <f t="shared" si="190"/>
        <v>1</v>
      </c>
      <c r="AE449" s="12" t="b">
        <f t="shared" si="191"/>
        <v>1</v>
      </c>
      <c r="AF449" s="12" t="b">
        <f t="shared" si="192"/>
        <v>1</v>
      </c>
    </row>
    <row r="450" spans="1:32" s="44" customFormat="1" ht="17.25" customHeight="1">
      <c r="A450" s="285"/>
      <c r="B450" s="23" t="s">
        <v>133</v>
      </c>
      <c r="C450" s="36" t="s">
        <v>102</v>
      </c>
      <c r="D450" s="37" t="s">
        <v>104</v>
      </c>
      <c r="E450" s="37" t="s">
        <v>85</v>
      </c>
      <c r="F450" s="37" t="s">
        <v>527</v>
      </c>
      <c r="G450" s="37" t="s">
        <v>19</v>
      </c>
      <c r="H450" s="183">
        <v>4715.49</v>
      </c>
      <c r="I450" s="183">
        <v>266.8</v>
      </c>
      <c r="J450" s="183">
        <v>266.8</v>
      </c>
      <c r="K450" s="183">
        <v>4715.49</v>
      </c>
      <c r="L450" s="183">
        <v>266.8</v>
      </c>
      <c r="M450" s="183">
        <v>266.8</v>
      </c>
      <c r="N450" s="43">
        <f t="shared" si="181"/>
        <v>0</v>
      </c>
      <c r="O450" s="183">
        <v>4715.49</v>
      </c>
      <c r="P450" s="183">
        <v>266.8</v>
      </c>
      <c r="Q450" s="183">
        <v>266.8</v>
      </c>
      <c r="R450" s="472">
        <f t="shared" si="184"/>
        <v>0</v>
      </c>
      <c r="S450" s="472">
        <f t="shared" si="185"/>
        <v>0</v>
      </c>
      <c r="T450" s="472">
        <f t="shared" si="186"/>
        <v>0</v>
      </c>
      <c r="U450" s="23" t="s">
        <v>133</v>
      </c>
      <c r="V450" s="36" t="s">
        <v>102</v>
      </c>
      <c r="W450" s="37" t="s">
        <v>104</v>
      </c>
      <c r="X450" s="37" t="s">
        <v>85</v>
      </c>
      <c r="Y450" s="37" t="s">
        <v>527</v>
      </c>
      <c r="Z450" s="37" t="s">
        <v>19</v>
      </c>
      <c r="AA450" s="12" t="b">
        <f t="shared" si="187"/>
        <v>1</v>
      </c>
      <c r="AB450" s="12" t="b">
        <f t="shared" si="188"/>
        <v>1</v>
      </c>
      <c r="AC450" s="12" t="b">
        <f t="shared" si="189"/>
        <v>1</v>
      </c>
      <c r="AD450" s="12" t="b">
        <f t="shared" si="190"/>
        <v>1</v>
      </c>
      <c r="AE450" s="12" t="b">
        <f t="shared" si="191"/>
        <v>1</v>
      </c>
      <c r="AF450" s="12" t="b">
        <f t="shared" si="192"/>
        <v>1</v>
      </c>
    </row>
    <row r="451" spans="1:32" s="44" customFormat="1" ht="17.25" customHeight="1">
      <c r="A451" s="285"/>
      <c r="B451" s="32" t="s">
        <v>32</v>
      </c>
      <c r="C451" s="33" t="s">
        <v>102</v>
      </c>
      <c r="D451" s="34" t="s">
        <v>104</v>
      </c>
      <c r="E451" s="34" t="s">
        <v>33</v>
      </c>
      <c r="F451" s="34" t="s">
        <v>223</v>
      </c>
      <c r="G451" s="34" t="s">
        <v>90</v>
      </c>
      <c r="H451" s="35">
        <f>H452+H470</f>
        <v>105388.63</v>
      </c>
      <c r="I451" s="35">
        <f t="shared" ref="I451:J451" si="193">I452+I470</f>
        <v>105328.51000000001</v>
      </c>
      <c r="J451" s="35">
        <f t="shared" si="193"/>
        <v>105761.73000000001</v>
      </c>
      <c r="K451" s="35">
        <v>105388.63</v>
      </c>
      <c r="L451" s="35">
        <v>105328.51000000001</v>
      </c>
      <c r="M451" s="35">
        <v>105761.73000000001</v>
      </c>
      <c r="N451" s="43">
        <f t="shared" si="181"/>
        <v>0</v>
      </c>
      <c r="O451" s="35">
        <v>105078.65000000001</v>
      </c>
      <c r="P451" s="35">
        <v>105018.53</v>
      </c>
      <c r="Q451" s="35">
        <v>105451.75</v>
      </c>
      <c r="R451" s="472">
        <f t="shared" si="184"/>
        <v>309.97999999999593</v>
      </c>
      <c r="S451" s="472">
        <f t="shared" si="185"/>
        <v>309.98000000001048</v>
      </c>
      <c r="T451" s="472">
        <f t="shared" si="186"/>
        <v>309.98000000001048</v>
      </c>
      <c r="U451" s="32" t="s">
        <v>32</v>
      </c>
      <c r="V451" s="33" t="s">
        <v>102</v>
      </c>
      <c r="W451" s="34" t="s">
        <v>104</v>
      </c>
      <c r="X451" s="34" t="s">
        <v>33</v>
      </c>
      <c r="Y451" s="34" t="s">
        <v>223</v>
      </c>
      <c r="Z451" s="34" t="s">
        <v>90</v>
      </c>
      <c r="AA451" s="12" t="b">
        <f t="shared" si="187"/>
        <v>1</v>
      </c>
      <c r="AB451" s="12" t="b">
        <f t="shared" si="188"/>
        <v>1</v>
      </c>
      <c r="AC451" s="12" t="b">
        <f t="shared" si="189"/>
        <v>1</v>
      </c>
      <c r="AD451" s="12" t="b">
        <f t="shared" si="190"/>
        <v>1</v>
      </c>
      <c r="AE451" s="12" t="b">
        <f t="shared" si="191"/>
        <v>1</v>
      </c>
      <c r="AF451" s="12" t="b">
        <f t="shared" si="192"/>
        <v>1</v>
      </c>
    </row>
    <row r="452" spans="1:32" s="44" customFormat="1" ht="17.25" customHeight="1">
      <c r="A452" s="285"/>
      <c r="B452" s="23" t="s">
        <v>647</v>
      </c>
      <c r="C452" s="36" t="s">
        <v>102</v>
      </c>
      <c r="D452" s="37" t="s">
        <v>104</v>
      </c>
      <c r="E452" s="37" t="s">
        <v>33</v>
      </c>
      <c r="F452" s="37" t="s">
        <v>316</v>
      </c>
      <c r="G452" s="37" t="s">
        <v>90</v>
      </c>
      <c r="H452" s="183">
        <f>H453</f>
        <v>53403.51</v>
      </c>
      <c r="I452" s="183">
        <f>I453</f>
        <v>53293.51</v>
      </c>
      <c r="J452" s="183">
        <f>J453</f>
        <v>53703.51</v>
      </c>
      <c r="K452" s="183">
        <v>53403.51</v>
      </c>
      <c r="L452" s="183">
        <v>53293.51</v>
      </c>
      <c r="M452" s="183">
        <v>53703.51</v>
      </c>
      <c r="N452" s="43">
        <f t="shared" si="181"/>
        <v>0</v>
      </c>
      <c r="O452" s="183">
        <v>53108.58</v>
      </c>
      <c r="P452" s="183">
        <v>52998.58</v>
      </c>
      <c r="Q452" s="183">
        <v>53408.58</v>
      </c>
      <c r="R452" s="472">
        <f t="shared" si="184"/>
        <v>294.93000000000029</v>
      </c>
      <c r="S452" s="472">
        <f t="shared" si="185"/>
        <v>294.93000000000029</v>
      </c>
      <c r="T452" s="472">
        <f t="shared" si="186"/>
        <v>294.93000000000029</v>
      </c>
      <c r="U452" s="23" t="s">
        <v>647</v>
      </c>
      <c r="V452" s="36" t="s">
        <v>102</v>
      </c>
      <c r="W452" s="37" t="s">
        <v>104</v>
      </c>
      <c r="X452" s="37" t="s">
        <v>33</v>
      </c>
      <c r="Y452" s="37" t="s">
        <v>316</v>
      </c>
      <c r="Z452" s="37" t="s">
        <v>90</v>
      </c>
      <c r="AA452" s="12" t="b">
        <f t="shared" si="187"/>
        <v>1</v>
      </c>
      <c r="AB452" s="12" t="b">
        <f t="shared" si="188"/>
        <v>1</v>
      </c>
      <c r="AC452" s="12" t="b">
        <f t="shared" si="189"/>
        <v>1</v>
      </c>
      <c r="AD452" s="12" t="b">
        <f t="shared" si="190"/>
        <v>1</v>
      </c>
      <c r="AE452" s="12" t="b">
        <f t="shared" si="191"/>
        <v>1</v>
      </c>
      <c r="AF452" s="12" t="b">
        <f t="shared" si="192"/>
        <v>1</v>
      </c>
    </row>
    <row r="453" spans="1:32" s="44" customFormat="1" ht="17.25" customHeight="1">
      <c r="A453" s="285"/>
      <c r="B453" s="23" t="s">
        <v>740</v>
      </c>
      <c r="C453" s="36" t="s">
        <v>102</v>
      </c>
      <c r="D453" s="37" t="s">
        <v>104</v>
      </c>
      <c r="E453" s="37" t="s">
        <v>33</v>
      </c>
      <c r="F453" s="37" t="s">
        <v>317</v>
      </c>
      <c r="G453" s="37" t="s">
        <v>90</v>
      </c>
      <c r="H453" s="183">
        <f>H461+H465+H454</f>
        <v>53403.51</v>
      </c>
      <c r="I453" s="183">
        <f t="shared" ref="I453:J453" si="194">I461+I465+I454</f>
        <v>53293.51</v>
      </c>
      <c r="J453" s="183">
        <f t="shared" si="194"/>
        <v>53703.51</v>
      </c>
      <c r="K453" s="183">
        <v>53403.51</v>
      </c>
      <c r="L453" s="183">
        <v>53293.51</v>
      </c>
      <c r="M453" s="183">
        <v>53703.51</v>
      </c>
      <c r="N453" s="43">
        <f t="shared" si="181"/>
        <v>0</v>
      </c>
      <c r="O453" s="183">
        <v>53108.58</v>
      </c>
      <c r="P453" s="183">
        <v>52998.58</v>
      </c>
      <c r="Q453" s="183">
        <v>53408.58</v>
      </c>
      <c r="R453" s="472">
        <f t="shared" si="184"/>
        <v>294.93000000000029</v>
      </c>
      <c r="S453" s="472">
        <f t="shared" si="185"/>
        <v>294.93000000000029</v>
      </c>
      <c r="T453" s="472">
        <f t="shared" si="186"/>
        <v>294.93000000000029</v>
      </c>
      <c r="U453" s="23" t="s">
        <v>740</v>
      </c>
      <c r="V453" s="36" t="s">
        <v>102</v>
      </c>
      <c r="W453" s="37" t="s">
        <v>104</v>
      </c>
      <c r="X453" s="37" t="s">
        <v>33</v>
      </c>
      <c r="Y453" s="37" t="s">
        <v>317</v>
      </c>
      <c r="Z453" s="37" t="s">
        <v>90</v>
      </c>
      <c r="AA453" s="12" t="b">
        <f t="shared" si="187"/>
        <v>1</v>
      </c>
      <c r="AB453" s="12" t="b">
        <f t="shared" si="188"/>
        <v>1</v>
      </c>
      <c r="AC453" s="12" t="b">
        <f t="shared" si="189"/>
        <v>1</v>
      </c>
      <c r="AD453" s="12" t="b">
        <f t="shared" si="190"/>
        <v>1</v>
      </c>
      <c r="AE453" s="12" t="b">
        <f t="shared" si="191"/>
        <v>1</v>
      </c>
      <c r="AF453" s="12" t="b">
        <f t="shared" si="192"/>
        <v>1</v>
      </c>
    </row>
    <row r="454" spans="1:32" s="44" customFormat="1" ht="17.25" customHeight="1">
      <c r="A454" s="285"/>
      <c r="B454" s="23" t="s">
        <v>1060</v>
      </c>
      <c r="C454" s="36" t="s">
        <v>102</v>
      </c>
      <c r="D454" s="37" t="s">
        <v>104</v>
      </c>
      <c r="E454" s="37" t="s">
        <v>33</v>
      </c>
      <c r="F454" s="37" t="s">
        <v>1045</v>
      </c>
      <c r="G454" s="37" t="s">
        <v>90</v>
      </c>
      <c r="H454" s="183">
        <f>H458+H455</f>
        <v>31808.15</v>
      </c>
      <c r="I454" s="183">
        <f t="shared" ref="I454:J454" si="195">I458+I455</f>
        <v>31808.15</v>
      </c>
      <c r="J454" s="183">
        <f t="shared" si="195"/>
        <v>31808.15</v>
      </c>
      <c r="K454" s="183">
        <v>31808.15</v>
      </c>
      <c r="L454" s="183">
        <v>31808.15</v>
      </c>
      <c r="M454" s="183">
        <v>31808.15</v>
      </c>
      <c r="N454" s="43">
        <f t="shared" si="181"/>
        <v>0</v>
      </c>
      <c r="O454" s="183">
        <v>31808.15</v>
      </c>
      <c r="P454" s="183">
        <v>31808.15</v>
      </c>
      <c r="Q454" s="183">
        <v>31808.15</v>
      </c>
      <c r="R454" s="472"/>
      <c r="S454" s="472"/>
      <c r="T454" s="472"/>
      <c r="U454" s="23" t="s">
        <v>1060</v>
      </c>
      <c r="V454" s="36" t="s">
        <v>102</v>
      </c>
      <c r="W454" s="37" t="s">
        <v>104</v>
      </c>
      <c r="X454" s="37" t="s">
        <v>33</v>
      </c>
      <c r="Y454" s="37" t="s">
        <v>1045</v>
      </c>
      <c r="Z454" s="37" t="s">
        <v>90</v>
      </c>
      <c r="AA454" s="12" t="b">
        <f t="shared" si="187"/>
        <v>1</v>
      </c>
      <c r="AB454" s="12" t="b">
        <f t="shared" si="188"/>
        <v>1</v>
      </c>
      <c r="AC454" s="12" t="b">
        <f t="shared" si="189"/>
        <v>1</v>
      </c>
      <c r="AD454" s="12" t="b">
        <f t="shared" si="190"/>
        <v>1</v>
      </c>
      <c r="AE454" s="12" t="b">
        <f t="shared" si="191"/>
        <v>1</v>
      </c>
      <c r="AF454" s="12" t="b">
        <f t="shared" si="192"/>
        <v>1</v>
      </c>
    </row>
    <row r="455" spans="1:32" s="44" customFormat="1" ht="17.25" customHeight="1">
      <c r="A455" s="285"/>
      <c r="B455" s="23" t="s">
        <v>1124</v>
      </c>
      <c r="C455" s="36" t="s">
        <v>102</v>
      </c>
      <c r="D455" s="37" t="s">
        <v>104</v>
      </c>
      <c r="E455" s="37" t="s">
        <v>33</v>
      </c>
      <c r="F455" s="37" t="s">
        <v>1125</v>
      </c>
      <c r="G455" s="37" t="s">
        <v>90</v>
      </c>
      <c r="H455" s="183">
        <f>H456+H457</f>
        <v>6510.11</v>
      </c>
      <c r="I455" s="183">
        <f t="shared" ref="I455:J455" si="196">I456+I457</f>
        <v>6510.11</v>
      </c>
      <c r="J455" s="183">
        <f t="shared" si="196"/>
        <v>6510.11</v>
      </c>
      <c r="K455" s="183">
        <v>6510.11</v>
      </c>
      <c r="L455" s="183">
        <v>6510.11</v>
      </c>
      <c r="M455" s="183">
        <v>6510.11</v>
      </c>
      <c r="N455" s="43">
        <f t="shared" si="181"/>
        <v>0</v>
      </c>
      <c r="O455" s="183">
        <v>6510.11</v>
      </c>
      <c r="P455" s="183">
        <v>6510.11</v>
      </c>
      <c r="Q455" s="183">
        <v>6510.11</v>
      </c>
      <c r="R455" s="472"/>
      <c r="S455" s="472"/>
      <c r="T455" s="472"/>
      <c r="U455" s="23" t="s">
        <v>1124</v>
      </c>
      <c r="V455" s="36" t="s">
        <v>102</v>
      </c>
      <c r="W455" s="37" t="s">
        <v>104</v>
      </c>
      <c r="X455" s="37" t="s">
        <v>33</v>
      </c>
      <c r="Y455" s="37" t="s">
        <v>1125</v>
      </c>
      <c r="Z455" s="37" t="s">
        <v>90</v>
      </c>
      <c r="AA455" s="12" t="b">
        <f t="shared" si="187"/>
        <v>1</v>
      </c>
      <c r="AB455" s="12" t="b">
        <f t="shared" si="188"/>
        <v>1</v>
      </c>
      <c r="AC455" s="12" t="b">
        <f t="shared" si="189"/>
        <v>1</v>
      </c>
      <c r="AD455" s="12" t="b">
        <f t="shared" si="190"/>
        <v>1</v>
      </c>
      <c r="AE455" s="12" t="b">
        <f t="shared" si="191"/>
        <v>1</v>
      </c>
      <c r="AF455" s="12" t="b">
        <f t="shared" si="192"/>
        <v>1</v>
      </c>
    </row>
    <row r="456" spans="1:32" s="44" customFormat="1" ht="17.25" customHeight="1">
      <c r="A456" s="285"/>
      <c r="B456" s="23" t="s">
        <v>132</v>
      </c>
      <c r="C456" s="36" t="s">
        <v>102</v>
      </c>
      <c r="D456" s="37" t="s">
        <v>104</v>
      </c>
      <c r="E456" s="37" t="s">
        <v>33</v>
      </c>
      <c r="F456" s="37" t="s">
        <v>1125</v>
      </c>
      <c r="G456" s="37" t="s">
        <v>171</v>
      </c>
      <c r="H456" s="183">
        <f>5442.58</f>
        <v>5442.58</v>
      </c>
      <c r="I456" s="183">
        <f t="shared" ref="I456:J456" si="197">5442.58</f>
        <v>5442.58</v>
      </c>
      <c r="J456" s="183">
        <f t="shared" si="197"/>
        <v>5442.58</v>
      </c>
      <c r="K456" s="183">
        <v>5442.58</v>
      </c>
      <c r="L456" s="183">
        <v>5442.58</v>
      </c>
      <c r="M456" s="183">
        <v>5442.58</v>
      </c>
      <c r="N456" s="43">
        <f t="shared" si="181"/>
        <v>0</v>
      </c>
      <c r="O456" s="183">
        <v>5442.58</v>
      </c>
      <c r="P456" s="183">
        <v>5442.58</v>
      </c>
      <c r="Q456" s="183">
        <v>5442.58</v>
      </c>
      <c r="R456" s="472"/>
      <c r="S456" s="472"/>
      <c r="T456" s="472"/>
      <c r="U456" s="23" t="s">
        <v>132</v>
      </c>
      <c r="V456" s="36" t="s">
        <v>102</v>
      </c>
      <c r="W456" s="37" t="s">
        <v>104</v>
      </c>
      <c r="X456" s="37" t="s">
        <v>33</v>
      </c>
      <c r="Y456" s="37" t="s">
        <v>1125</v>
      </c>
      <c r="Z456" s="37" t="s">
        <v>171</v>
      </c>
      <c r="AA456" s="12" t="b">
        <f t="shared" si="187"/>
        <v>1</v>
      </c>
      <c r="AB456" s="12" t="b">
        <f t="shared" si="188"/>
        <v>1</v>
      </c>
      <c r="AC456" s="12" t="b">
        <f t="shared" si="189"/>
        <v>1</v>
      </c>
      <c r="AD456" s="12" t="b">
        <f t="shared" si="190"/>
        <v>1</v>
      </c>
      <c r="AE456" s="12" t="b">
        <f t="shared" si="191"/>
        <v>1</v>
      </c>
      <c r="AF456" s="12" t="b">
        <f t="shared" si="192"/>
        <v>1</v>
      </c>
    </row>
    <row r="457" spans="1:32" s="44" customFormat="1" ht="17.25" customHeight="1">
      <c r="A457" s="285"/>
      <c r="B457" s="23" t="s">
        <v>133</v>
      </c>
      <c r="C457" s="36" t="s">
        <v>102</v>
      </c>
      <c r="D457" s="37" t="s">
        <v>104</v>
      </c>
      <c r="E457" s="37" t="s">
        <v>33</v>
      </c>
      <c r="F457" s="37" t="s">
        <v>1125</v>
      </c>
      <c r="G457" s="37" t="s">
        <v>19</v>
      </c>
      <c r="H457" s="183">
        <f>1067.53</f>
        <v>1067.53</v>
      </c>
      <c r="I457" s="183">
        <f t="shared" ref="I457:J457" si="198">1067.53</f>
        <v>1067.53</v>
      </c>
      <c r="J457" s="183">
        <f t="shared" si="198"/>
        <v>1067.53</v>
      </c>
      <c r="K457" s="183">
        <v>1067.53</v>
      </c>
      <c r="L457" s="183">
        <v>1067.53</v>
      </c>
      <c r="M457" s="183">
        <v>1067.53</v>
      </c>
      <c r="N457" s="43">
        <f t="shared" si="181"/>
        <v>0</v>
      </c>
      <c r="O457" s="183">
        <v>1067.53</v>
      </c>
      <c r="P457" s="183">
        <v>1067.53</v>
      </c>
      <c r="Q457" s="183">
        <v>1067.53</v>
      </c>
      <c r="R457" s="472"/>
      <c r="S457" s="472"/>
      <c r="T457" s="472"/>
      <c r="U457" s="23" t="s">
        <v>133</v>
      </c>
      <c r="V457" s="36" t="s">
        <v>102</v>
      </c>
      <c r="W457" s="37" t="s">
        <v>104</v>
      </c>
      <c r="X457" s="37" t="s">
        <v>33</v>
      </c>
      <c r="Y457" s="37" t="s">
        <v>1125</v>
      </c>
      <c r="Z457" s="37" t="s">
        <v>19</v>
      </c>
      <c r="AA457" s="12" t="b">
        <f t="shared" si="187"/>
        <v>1</v>
      </c>
      <c r="AB457" s="12" t="b">
        <f t="shared" si="188"/>
        <v>1</v>
      </c>
      <c r="AC457" s="12" t="b">
        <f t="shared" si="189"/>
        <v>1</v>
      </c>
      <c r="AD457" s="12" t="b">
        <f t="shared" si="190"/>
        <v>1</v>
      </c>
      <c r="AE457" s="12" t="b">
        <f t="shared" si="191"/>
        <v>1</v>
      </c>
      <c r="AF457" s="12" t="b">
        <f t="shared" si="192"/>
        <v>1</v>
      </c>
    </row>
    <row r="458" spans="1:32" s="44" customFormat="1" ht="17.25" customHeight="1">
      <c r="A458" s="285"/>
      <c r="B458" s="23" t="s">
        <v>1269</v>
      </c>
      <c r="C458" s="36" t="s">
        <v>102</v>
      </c>
      <c r="D458" s="37" t="s">
        <v>104</v>
      </c>
      <c r="E458" s="37" t="s">
        <v>33</v>
      </c>
      <c r="F458" s="37" t="s">
        <v>1046</v>
      </c>
      <c r="G458" s="37" t="s">
        <v>90</v>
      </c>
      <c r="H458" s="183">
        <f>H459+H460</f>
        <v>25298.04</v>
      </c>
      <c r="I458" s="183">
        <f>I459+I460</f>
        <v>25298.04</v>
      </c>
      <c r="J458" s="183">
        <f>J459+J460</f>
        <v>25298.04</v>
      </c>
      <c r="K458" s="183">
        <v>25298.04</v>
      </c>
      <c r="L458" s="183">
        <v>25298.04</v>
      </c>
      <c r="M458" s="183">
        <v>25298.04</v>
      </c>
      <c r="N458" s="43">
        <f t="shared" si="181"/>
        <v>0</v>
      </c>
      <c r="O458" s="183">
        <v>25298.04</v>
      </c>
      <c r="P458" s="183">
        <v>25298.04</v>
      </c>
      <c r="Q458" s="183">
        <v>25298.04</v>
      </c>
      <c r="R458" s="472"/>
      <c r="S458" s="472"/>
      <c r="T458" s="472"/>
      <c r="U458" s="23" t="s">
        <v>1059</v>
      </c>
      <c r="V458" s="36" t="s">
        <v>102</v>
      </c>
      <c r="W458" s="37" t="s">
        <v>104</v>
      </c>
      <c r="X458" s="37" t="s">
        <v>33</v>
      </c>
      <c r="Y458" s="37" t="s">
        <v>1046</v>
      </c>
      <c r="Z458" s="37" t="s">
        <v>90</v>
      </c>
      <c r="AA458" s="12" t="b">
        <f t="shared" si="187"/>
        <v>0</v>
      </c>
      <c r="AB458" s="12" t="b">
        <f t="shared" si="188"/>
        <v>1</v>
      </c>
      <c r="AC458" s="12" t="b">
        <f t="shared" si="189"/>
        <v>1</v>
      </c>
      <c r="AD458" s="12" t="b">
        <f t="shared" si="190"/>
        <v>1</v>
      </c>
      <c r="AE458" s="12" t="b">
        <f t="shared" si="191"/>
        <v>1</v>
      </c>
      <c r="AF458" s="12" t="b">
        <f t="shared" si="192"/>
        <v>1</v>
      </c>
    </row>
    <row r="459" spans="1:32" s="44" customFormat="1" ht="17.25" customHeight="1">
      <c r="A459" s="285"/>
      <c r="B459" s="23" t="s">
        <v>132</v>
      </c>
      <c r="C459" s="36" t="s">
        <v>102</v>
      </c>
      <c r="D459" s="37" t="s">
        <v>104</v>
      </c>
      <c r="E459" s="37" t="s">
        <v>33</v>
      </c>
      <c r="F459" s="37" t="s">
        <v>1046</v>
      </c>
      <c r="G459" s="37" t="s">
        <v>171</v>
      </c>
      <c r="H459" s="183">
        <f>18349.11+2026.64</f>
        <v>20375.75</v>
      </c>
      <c r="I459" s="183">
        <f t="shared" ref="I459:J459" si="199">18349.11+2026.64</f>
        <v>20375.75</v>
      </c>
      <c r="J459" s="183">
        <f t="shared" si="199"/>
        <v>20375.75</v>
      </c>
      <c r="K459" s="183">
        <v>20375.75</v>
      </c>
      <c r="L459" s="183">
        <v>20375.75</v>
      </c>
      <c r="M459" s="183">
        <v>20375.75</v>
      </c>
      <c r="N459" s="43">
        <f t="shared" si="181"/>
        <v>0</v>
      </c>
      <c r="O459" s="183">
        <v>20375.75</v>
      </c>
      <c r="P459" s="183">
        <v>20375.75</v>
      </c>
      <c r="Q459" s="183">
        <v>20375.75</v>
      </c>
      <c r="R459" s="472"/>
      <c r="S459" s="472"/>
      <c r="T459" s="472"/>
      <c r="U459" s="23" t="s">
        <v>132</v>
      </c>
      <c r="V459" s="36" t="s">
        <v>102</v>
      </c>
      <c r="W459" s="37" t="s">
        <v>104</v>
      </c>
      <c r="X459" s="37" t="s">
        <v>33</v>
      </c>
      <c r="Y459" s="37" t="s">
        <v>1046</v>
      </c>
      <c r="Z459" s="37" t="s">
        <v>171</v>
      </c>
      <c r="AA459" s="12" t="b">
        <f t="shared" si="187"/>
        <v>1</v>
      </c>
      <c r="AB459" s="12" t="b">
        <f t="shared" si="188"/>
        <v>1</v>
      </c>
      <c r="AC459" s="12" t="b">
        <f t="shared" si="189"/>
        <v>1</v>
      </c>
      <c r="AD459" s="12" t="b">
        <f t="shared" si="190"/>
        <v>1</v>
      </c>
      <c r="AE459" s="12" t="b">
        <f t="shared" si="191"/>
        <v>1</v>
      </c>
      <c r="AF459" s="12" t="b">
        <f t="shared" si="192"/>
        <v>1</v>
      </c>
    </row>
    <row r="460" spans="1:32" s="44" customFormat="1" ht="17.25" customHeight="1">
      <c r="A460" s="285"/>
      <c r="B460" s="23" t="s">
        <v>133</v>
      </c>
      <c r="C460" s="36" t="s">
        <v>102</v>
      </c>
      <c r="D460" s="37" t="s">
        <v>104</v>
      </c>
      <c r="E460" s="37" t="s">
        <v>33</v>
      </c>
      <c r="F460" s="37" t="s">
        <v>1046</v>
      </c>
      <c r="G460" s="37" t="s">
        <v>19</v>
      </c>
      <c r="H460" s="183">
        <f>3422.29+1500</f>
        <v>4922.29</v>
      </c>
      <c r="I460" s="183">
        <f t="shared" ref="I460:J460" si="200">3422.29+1500</f>
        <v>4922.29</v>
      </c>
      <c r="J460" s="183">
        <f t="shared" si="200"/>
        <v>4922.29</v>
      </c>
      <c r="K460" s="183">
        <v>4922.29</v>
      </c>
      <c r="L460" s="183">
        <v>4922.29</v>
      </c>
      <c r="M460" s="183">
        <v>4922.29</v>
      </c>
      <c r="N460" s="43">
        <f t="shared" si="181"/>
        <v>0</v>
      </c>
      <c r="O460" s="183">
        <v>4922.29</v>
      </c>
      <c r="P460" s="183">
        <v>4922.29</v>
      </c>
      <c r="Q460" s="183">
        <v>4922.29</v>
      </c>
      <c r="R460" s="472"/>
      <c r="S460" s="472"/>
      <c r="T460" s="472"/>
      <c r="U460" s="23" t="s">
        <v>133</v>
      </c>
      <c r="V460" s="36" t="s">
        <v>102</v>
      </c>
      <c r="W460" s="37" t="s">
        <v>104</v>
      </c>
      <c r="X460" s="37" t="s">
        <v>33</v>
      </c>
      <c r="Y460" s="37" t="s">
        <v>1046</v>
      </c>
      <c r="Z460" s="37" t="s">
        <v>19</v>
      </c>
      <c r="AA460" s="12" t="b">
        <f t="shared" si="187"/>
        <v>1</v>
      </c>
      <c r="AB460" s="12" t="b">
        <f t="shared" si="188"/>
        <v>1</v>
      </c>
      <c r="AC460" s="12" t="b">
        <f t="shared" si="189"/>
        <v>1</v>
      </c>
      <c r="AD460" s="12" t="b">
        <f t="shared" si="190"/>
        <v>1</v>
      </c>
      <c r="AE460" s="12" t="b">
        <f t="shared" si="191"/>
        <v>1</v>
      </c>
      <c r="AF460" s="12" t="b">
        <f t="shared" si="192"/>
        <v>1</v>
      </c>
    </row>
    <row r="461" spans="1:32" s="44" customFormat="1" ht="17.25" customHeight="1">
      <c r="A461" s="285"/>
      <c r="B461" s="23" t="s">
        <v>544</v>
      </c>
      <c r="C461" s="36" t="s">
        <v>102</v>
      </c>
      <c r="D461" s="37" t="s">
        <v>104</v>
      </c>
      <c r="E461" s="37" t="s">
        <v>33</v>
      </c>
      <c r="F461" s="37" t="s">
        <v>336</v>
      </c>
      <c r="G461" s="37" t="s">
        <v>90</v>
      </c>
      <c r="H461" s="183">
        <f>H462</f>
        <v>8495.0500000000011</v>
      </c>
      <c r="I461" s="183">
        <f>I462</f>
        <v>8385.0500000000011</v>
      </c>
      <c r="J461" s="183">
        <f>J462</f>
        <v>8385.0500000000011</v>
      </c>
      <c r="K461" s="183">
        <v>8495.0500000000011</v>
      </c>
      <c r="L461" s="183">
        <v>8385.0500000000011</v>
      </c>
      <c r="M461" s="183">
        <v>8385.0500000000011</v>
      </c>
      <c r="N461" s="43">
        <f t="shared" si="181"/>
        <v>0</v>
      </c>
      <c r="O461" s="183">
        <v>8245.25</v>
      </c>
      <c r="P461" s="183">
        <v>8135.25</v>
      </c>
      <c r="Q461" s="183">
        <v>8135.25</v>
      </c>
      <c r="R461" s="472">
        <f t="shared" ref="R461:R492" si="201">H461-O461</f>
        <v>249.80000000000109</v>
      </c>
      <c r="S461" s="472">
        <f t="shared" ref="S461:S492" si="202">I461-P461</f>
        <v>249.80000000000109</v>
      </c>
      <c r="T461" s="472">
        <f t="shared" ref="T461:T492" si="203">J461-Q461</f>
        <v>249.80000000000109</v>
      </c>
      <c r="U461" s="23" t="s">
        <v>544</v>
      </c>
      <c r="V461" s="36" t="s">
        <v>102</v>
      </c>
      <c r="W461" s="37" t="s">
        <v>104</v>
      </c>
      <c r="X461" s="37" t="s">
        <v>33</v>
      </c>
      <c r="Y461" s="37" t="s">
        <v>336</v>
      </c>
      <c r="Z461" s="37" t="s">
        <v>90</v>
      </c>
      <c r="AA461" s="12" t="b">
        <f t="shared" si="187"/>
        <v>1</v>
      </c>
      <c r="AB461" s="12" t="b">
        <f t="shared" si="188"/>
        <v>1</v>
      </c>
      <c r="AC461" s="12" t="b">
        <f t="shared" si="189"/>
        <v>1</v>
      </c>
      <c r="AD461" s="12" t="b">
        <f t="shared" si="190"/>
        <v>1</v>
      </c>
      <c r="AE461" s="12" t="b">
        <f t="shared" si="191"/>
        <v>1</v>
      </c>
      <c r="AF461" s="12" t="b">
        <f t="shared" si="192"/>
        <v>1</v>
      </c>
    </row>
    <row r="462" spans="1:32" s="44" customFormat="1" ht="17.25" customHeight="1">
      <c r="A462" s="285"/>
      <c r="B462" s="23" t="s">
        <v>987</v>
      </c>
      <c r="C462" s="36" t="s">
        <v>102</v>
      </c>
      <c r="D462" s="37" t="s">
        <v>104</v>
      </c>
      <c r="E462" s="37" t="s">
        <v>33</v>
      </c>
      <c r="F462" s="37" t="s">
        <v>543</v>
      </c>
      <c r="G462" s="37" t="s">
        <v>90</v>
      </c>
      <c r="H462" s="183">
        <f>H463+H464</f>
        <v>8495.0500000000011</v>
      </c>
      <c r="I462" s="183">
        <f>I463+I464</f>
        <v>8385.0500000000011</v>
      </c>
      <c r="J462" s="183">
        <f>J463+J464</f>
        <v>8385.0500000000011</v>
      </c>
      <c r="K462" s="183">
        <v>8495.0500000000011</v>
      </c>
      <c r="L462" s="183">
        <v>8385.0500000000011</v>
      </c>
      <c r="M462" s="183">
        <v>8385.0500000000011</v>
      </c>
      <c r="N462" s="43">
        <f t="shared" si="181"/>
        <v>0</v>
      </c>
      <c r="O462" s="183">
        <v>8245.25</v>
      </c>
      <c r="P462" s="183">
        <v>8135.25</v>
      </c>
      <c r="Q462" s="183">
        <v>8135.25</v>
      </c>
      <c r="R462" s="472">
        <f t="shared" si="201"/>
        <v>249.80000000000109</v>
      </c>
      <c r="S462" s="472">
        <f t="shared" si="202"/>
        <v>249.80000000000109</v>
      </c>
      <c r="T462" s="472">
        <f t="shared" si="203"/>
        <v>249.80000000000109</v>
      </c>
      <c r="U462" s="23" t="s">
        <v>987</v>
      </c>
      <c r="V462" s="36" t="s">
        <v>102</v>
      </c>
      <c r="W462" s="37" t="s">
        <v>104</v>
      </c>
      <c r="X462" s="37" t="s">
        <v>33</v>
      </c>
      <c r="Y462" s="37" t="s">
        <v>543</v>
      </c>
      <c r="Z462" s="37" t="s">
        <v>90</v>
      </c>
      <c r="AA462" s="12" t="b">
        <f t="shared" si="187"/>
        <v>1</v>
      </c>
      <c r="AB462" s="12" t="b">
        <f t="shared" si="188"/>
        <v>1</v>
      </c>
      <c r="AC462" s="12" t="b">
        <f t="shared" si="189"/>
        <v>1</v>
      </c>
      <c r="AD462" s="12" t="b">
        <f t="shared" si="190"/>
        <v>1</v>
      </c>
      <c r="AE462" s="12" t="b">
        <f t="shared" si="191"/>
        <v>1</v>
      </c>
      <c r="AF462" s="12" t="b">
        <f t="shared" si="192"/>
        <v>1</v>
      </c>
    </row>
    <row r="463" spans="1:32" s="44" customFormat="1" ht="17.25" customHeight="1">
      <c r="A463" s="285"/>
      <c r="B463" s="23" t="s">
        <v>132</v>
      </c>
      <c r="C463" s="36" t="s">
        <v>102</v>
      </c>
      <c r="D463" s="37" t="s">
        <v>104</v>
      </c>
      <c r="E463" s="37" t="s">
        <v>33</v>
      </c>
      <c r="F463" s="37" t="s">
        <v>543</v>
      </c>
      <c r="G463" s="37" t="s">
        <v>171</v>
      </c>
      <c r="H463" s="183">
        <f>7899.96+249.8</f>
        <v>8149.76</v>
      </c>
      <c r="I463" s="183">
        <f>7789.96+249.8</f>
        <v>8039.76</v>
      </c>
      <c r="J463" s="183">
        <f>7789.96+249.8</f>
        <v>8039.76</v>
      </c>
      <c r="K463" s="183">
        <v>8149.76</v>
      </c>
      <c r="L463" s="183">
        <v>8039.76</v>
      </c>
      <c r="M463" s="183">
        <v>8039.76</v>
      </c>
      <c r="N463" s="43">
        <f t="shared" si="181"/>
        <v>0</v>
      </c>
      <c r="O463" s="183">
        <v>7899.96</v>
      </c>
      <c r="P463" s="183">
        <v>7789.96</v>
      </c>
      <c r="Q463" s="183">
        <v>7789.96</v>
      </c>
      <c r="R463" s="472">
        <f t="shared" si="201"/>
        <v>249.80000000000018</v>
      </c>
      <c r="S463" s="472">
        <f t="shared" si="202"/>
        <v>249.80000000000018</v>
      </c>
      <c r="T463" s="472">
        <f t="shared" si="203"/>
        <v>249.80000000000018</v>
      </c>
      <c r="U463" s="23" t="s">
        <v>132</v>
      </c>
      <c r="V463" s="36" t="s">
        <v>102</v>
      </c>
      <c r="W463" s="37" t="s">
        <v>104</v>
      </c>
      <c r="X463" s="37" t="s">
        <v>33</v>
      </c>
      <c r="Y463" s="37" t="s">
        <v>543</v>
      </c>
      <c r="Z463" s="37" t="s">
        <v>171</v>
      </c>
      <c r="AA463" s="12" t="b">
        <f t="shared" si="187"/>
        <v>1</v>
      </c>
      <c r="AB463" s="12" t="b">
        <f t="shared" si="188"/>
        <v>1</v>
      </c>
      <c r="AC463" s="12" t="b">
        <f t="shared" si="189"/>
        <v>1</v>
      </c>
      <c r="AD463" s="12" t="b">
        <f t="shared" si="190"/>
        <v>1</v>
      </c>
      <c r="AE463" s="12" t="b">
        <f t="shared" si="191"/>
        <v>1</v>
      </c>
      <c r="AF463" s="12" t="b">
        <f t="shared" si="192"/>
        <v>1</v>
      </c>
    </row>
    <row r="464" spans="1:32" s="44" customFormat="1" ht="17.25" customHeight="1">
      <c r="A464" s="285"/>
      <c r="B464" s="23" t="s">
        <v>133</v>
      </c>
      <c r="C464" s="36" t="s">
        <v>102</v>
      </c>
      <c r="D464" s="37" t="s">
        <v>104</v>
      </c>
      <c r="E464" s="37" t="s">
        <v>33</v>
      </c>
      <c r="F464" s="37" t="s">
        <v>543</v>
      </c>
      <c r="G464" s="37" t="s">
        <v>19</v>
      </c>
      <c r="H464" s="183">
        <v>345.29</v>
      </c>
      <c r="I464" s="183">
        <v>345.29</v>
      </c>
      <c r="J464" s="183">
        <v>345.29</v>
      </c>
      <c r="K464" s="183">
        <v>345.29</v>
      </c>
      <c r="L464" s="183">
        <v>345.29</v>
      </c>
      <c r="M464" s="183">
        <v>345.29</v>
      </c>
      <c r="N464" s="43">
        <f t="shared" si="181"/>
        <v>0</v>
      </c>
      <c r="O464" s="183">
        <v>345.29</v>
      </c>
      <c r="P464" s="183">
        <v>345.29</v>
      </c>
      <c r="Q464" s="183">
        <v>345.29</v>
      </c>
      <c r="R464" s="472">
        <f t="shared" si="201"/>
        <v>0</v>
      </c>
      <c r="S464" s="472">
        <f t="shared" si="202"/>
        <v>0</v>
      </c>
      <c r="T464" s="472">
        <f t="shared" si="203"/>
        <v>0</v>
      </c>
      <c r="U464" s="23" t="s">
        <v>133</v>
      </c>
      <c r="V464" s="36" t="s">
        <v>102</v>
      </c>
      <c r="W464" s="37" t="s">
        <v>104</v>
      </c>
      <c r="X464" s="37" t="s">
        <v>33</v>
      </c>
      <c r="Y464" s="37" t="s">
        <v>543</v>
      </c>
      <c r="Z464" s="37" t="s">
        <v>19</v>
      </c>
      <c r="AA464" s="12" t="b">
        <f t="shared" si="187"/>
        <v>1</v>
      </c>
      <c r="AB464" s="12" t="b">
        <f t="shared" si="188"/>
        <v>1</v>
      </c>
      <c r="AC464" s="12" t="b">
        <f t="shared" si="189"/>
        <v>1</v>
      </c>
      <c r="AD464" s="12" t="b">
        <f t="shared" si="190"/>
        <v>1</v>
      </c>
      <c r="AE464" s="12" t="b">
        <f t="shared" si="191"/>
        <v>1</v>
      </c>
      <c r="AF464" s="12" t="b">
        <f t="shared" si="192"/>
        <v>1</v>
      </c>
    </row>
    <row r="465" spans="1:32" s="44" customFormat="1" ht="17.25" customHeight="1">
      <c r="A465" s="285"/>
      <c r="B465" s="54" t="s">
        <v>578</v>
      </c>
      <c r="C465" s="56" t="s">
        <v>102</v>
      </c>
      <c r="D465" s="57" t="s">
        <v>104</v>
      </c>
      <c r="E465" s="57" t="s">
        <v>33</v>
      </c>
      <c r="F465" s="57" t="s">
        <v>571</v>
      </c>
      <c r="G465" s="57" t="s">
        <v>90</v>
      </c>
      <c r="H465" s="58">
        <f>H466</f>
        <v>13100.31</v>
      </c>
      <c r="I465" s="58">
        <f>I466</f>
        <v>13100.31</v>
      </c>
      <c r="J465" s="58">
        <f>J466+J468</f>
        <v>13510.31</v>
      </c>
      <c r="K465" s="58">
        <v>13100.31</v>
      </c>
      <c r="L465" s="58">
        <v>13100.31</v>
      </c>
      <c r="M465" s="58">
        <v>13510.31</v>
      </c>
      <c r="N465" s="43">
        <f t="shared" si="181"/>
        <v>0</v>
      </c>
      <c r="O465" s="58">
        <v>13055.18</v>
      </c>
      <c r="P465" s="58">
        <v>13055.18</v>
      </c>
      <c r="Q465" s="58">
        <v>13465.18</v>
      </c>
      <c r="R465" s="472">
        <f t="shared" si="201"/>
        <v>45.1299999999992</v>
      </c>
      <c r="S465" s="472">
        <f t="shared" si="202"/>
        <v>45.1299999999992</v>
      </c>
      <c r="T465" s="472">
        <f t="shared" si="203"/>
        <v>45.1299999999992</v>
      </c>
      <c r="U465" s="54" t="s">
        <v>578</v>
      </c>
      <c r="V465" s="56" t="s">
        <v>102</v>
      </c>
      <c r="W465" s="57" t="s">
        <v>104</v>
      </c>
      <c r="X465" s="57" t="s">
        <v>33</v>
      </c>
      <c r="Y465" s="57" t="s">
        <v>571</v>
      </c>
      <c r="Z465" s="57" t="s">
        <v>90</v>
      </c>
      <c r="AA465" s="12" t="b">
        <f t="shared" si="187"/>
        <v>1</v>
      </c>
      <c r="AB465" s="12" t="b">
        <f t="shared" si="188"/>
        <v>1</v>
      </c>
      <c r="AC465" s="12" t="b">
        <f t="shared" si="189"/>
        <v>1</v>
      </c>
      <c r="AD465" s="12" t="b">
        <f t="shared" si="190"/>
        <v>1</v>
      </c>
      <c r="AE465" s="12" t="b">
        <f t="shared" si="191"/>
        <v>1</v>
      </c>
      <c r="AF465" s="12" t="b">
        <f t="shared" si="192"/>
        <v>1</v>
      </c>
    </row>
    <row r="466" spans="1:32" s="44" customFormat="1" ht="17.25" customHeight="1">
      <c r="A466" s="285"/>
      <c r="B466" s="65" t="s">
        <v>254</v>
      </c>
      <c r="C466" s="56" t="s">
        <v>102</v>
      </c>
      <c r="D466" s="57" t="s">
        <v>104</v>
      </c>
      <c r="E466" s="57" t="s">
        <v>33</v>
      </c>
      <c r="F466" s="57" t="s">
        <v>572</v>
      </c>
      <c r="G466" s="57" t="s">
        <v>90</v>
      </c>
      <c r="H466" s="58">
        <f>SUM(H467:H467)</f>
        <v>13100.31</v>
      </c>
      <c r="I466" s="58">
        <f>SUM(I467:I467)</f>
        <v>13100.31</v>
      </c>
      <c r="J466" s="58">
        <f>SUM(J467:J467)</f>
        <v>13100.31</v>
      </c>
      <c r="K466" s="58">
        <v>13100.31</v>
      </c>
      <c r="L466" s="58">
        <v>13100.31</v>
      </c>
      <c r="M466" s="58">
        <v>13100.31</v>
      </c>
      <c r="N466" s="43">
        <f t="shared" si="181"/>
        <v>0</v>
      </c>
      <c r="O466" s="58">
        <v>13055.18</v>
      </c>
      <c r="P466" s="58">
        <v>13055.18</v>
      </c>
      <c r="Q466" s="58">
        <v>13055.18</v>
      </c>
      <c r="R466" s="472">
        <f t="shared" si="201"/>
        <v>45.1299999999992</v>
      </c>
      <c r="S466" s="472">
        <f t="shared" si="202"/>
        <v>45.1299999999992</v>
      </c>
      <c r="T466" s="472">
        <f t="shared" si="203"/>
        <v>45.1299999999992</v>
      </c>
      <c r="U466" s="65" t="s">
        <v>254</v>
      </c>
      <c r="V466" s="56" t="s">
        <v>102</v>
      </c>
      <c r="W466" s="57" t="s">
        <v>104</v>
      </c>
      <c r="X466" s="57" t="s">
        <v>33</v>
      </c>
      <c r="Y466" s="57" t="s">
        <v>572</v>
      </c>
      <c r="Z466" s="57" t="s">
        <v>90</v>
      </c>
      <c r="AA466" s="12" t="b">
        <f t="shared" si="187"/>
        <v>1</v>
      </c>
      <c r="AB466" s="12" t="b">
        <f t="shared" si="188"/>
        <v>1</v>
      </c>
      <c r="AC466" s="12" t="b">
        <f t="shared" si="189"/>
        <v>1</v>
      </c>
      <c r="AD466" s="12" t="b">
        <f t="shared" si="190"/>
        <v>1</v>
      </c>
      <c r="AE466" s="12" t="b">
        <f t="shared" si="191"/>
        <v>1</v>
      </c>
      <c r="AF466" s="12" t="b">
        <f t="shared" si="192"/>
        <v>1</v>
      </c>
    </row>
    <row r="467" spans="1:32" s="44" customFormat="1" ht="17.25" customHeight="1">
      <c r="A467" s="285"/>
      <c r="B467" s="65" t="s">
        <v>132</v>
      </c>
      <c r="C467" s="56" t="s">
        <v>102</v>
      </c>
      <c r="D467" s="57" t="s">
        <v>104</v>
      </c>
      <c r="E467" s="57" t="s">
        <v>33</v>
      </c>
      <c r="F467" s="57" t="s">
        <v>572</v>
      </c>
      <c r="G467" s="57" t="s">
        <v>171</v>
      </c>
      <c r="H467" s="58">
        <f>13055.18+45.13</f>
        <v>13100.31</v>
      </c>
      <c r="I467" s="58">
        <f>13055.18+45.13</f>
        <v>13100.31</v>
      </c>
      <c r="J467" s="58">
        <f>13055.18+45.13</f>
        <v>13100.31</v>
      </c>
      <c r="K467" s="58">
        <v>13100.31</v>
      </c>
      <c r="L467" s="58">
        <v>13100.31</v>
      </c>
      <c r="M467" s="58">
        <v>13100.31</v>
      </c>
      <c r="N467" s="43">
        <f t="shared" si="181"/>
        <v>0</v>
      </c>
      <c r="O467" s="58">
        <v>13055.18</v>
      </c>
      <c r="P467" s="58">
        <v>13055.18</v>
      </c>
      <c r="Q467" s="58">
        <v>13055.18</v>
      </c>
      <c r="R467" s="472">
        <f t="shared" si="201"/>
        <v>45.1299999999992</v>
      </c>
      <c r="S467" s="472">
        <f t="shared" si="202"/>
        <v>45.1299999999992</v>
      </c>
      <c r="T467" s="472">
        <f t="shared" si="203"/>
        <v>45.1299999999992</v>
      </c>
      <c r="U467" s="65" t="s">
        <v>132</v>
      </c>
      <c r="V467" s="56" t="s">
        <v>102</v>
      </c>
      <c r="W467" s="57" t="s">
        <v>104</v>
      </c>
      <c r="X467" s="57" t="s">
        <v>33</v>
      </c>
      <c r="Y467" s="57" t="s">
        <v>572</v>
      </c>
      <c r="Z467" s="57" t="s">
        <v>171</v>
      </c>
      <c r="AA467" s="12" t="b">
        <f t="shared" si="187"/>
        <v>1</v>
      </c>
      <c r="AB467" s="12" t="b">
        <f t="shared" si="188"/>
        <v>1</v>
      </c>
      <c r="AC467" s="12" t="b">
        <f t="shared" si="189"/>
        <v>1</v>
      </c>
      <c r="AD467" s="12" t="b">
        <f t="shared" si="190"/>
        <v>1</v>
      </c>
      <c r="AE467" s="12" t="b">
        <f t="shared" si="191"/>
        <v>1</v>
      </c>
      <c r="AF467" s="12" t="b">
        <f t="shared" si="192"/>
        <v>1</v>
      </c>
    </row>
    <row r="468" spans="1:32" s="44" customFormat="1" ht="17.25" customHeight="1">
      <c r="A468" s="285"/>
      <c r="B468" s="23" t="s">
        <v>1121</v>
      </c>
      <c r="C468" s="36" t="s">
        <v>102</v>
      </c>
      <c r="D468" s="37" t="s">
        <v>104</v>
      </c>
      <c r="E468" s="37" t="s">
        <v>33</v>
      </c>
      <c r="F468" s="37" t="s">
        <v>1122</v>
      </c>
      <c r="G468" s="37" t="s">
        <v>90</v>
      </c>
      <c r="H468" s="183">
        <f>H469</f>
        <v>0</v>
      </c>
      <c r="I468" s="183">
        <f t="shared" ref="I468:J468" si="204">I469</f>
        <v>0</v>
      </c>
      <c r="J468" s="183">
        <f t="shared" si="204"/>
        <v>410</v>
      </c>
      <c r="K468" s="183">
        <v>0</v>
      </c>
      <c r="L468" s="183">
        <v>0</v>
      </c>
      <c r="M468" s="183">
        <v>410</v>
      </c>
      <c r="N468" s="43">
        <f t="shared" si="181"/>
        <v>0</v>
      </c>
      <c r="O468" s="183">
        <v>0</v>
      </c>
      <c r="P468" s="183">
        <v>0</v>
      </c>
      <c r="Q468" s="183">
        <v>410</v>
      </c>
      <c r="R468" s="472">
        <f t="shared" si="201"/>
        <v>0</v>
      </c>
      <c r="S468" s="472">
        <f t="shared" si="202"/>
        <v>0</v>
      </c>
      <c r="T468" s="472">
        <f t="shared" si="203"/>
        <v>0</v>
      </c>
      <c r="U468" s="23" t="s">
        <v>1121</v>
      </c>
      <c r="V468" s="36" t="s">
        <v>102</v>
      </c>
      <c r="W468" s="37" t="s">
        <v>104</v>
      </c>
      <c r="X468" s="37" t="s">
        <v>33</v>
      </c>
      <c r="Y468" s="37" t="s">
        <v>1122</v>
      </c>
      <c r="Z468" s="37" t="s">
        <v>90</v>
      </c>
      <c r="AA468" s="12" t="b">
        <f t="shared" si="187"/>
        <v>1</v>
      </c>
      <c r="AB468" s="12" t="b">
        <f t="shared" si="188"/>
        <v>1</v>
      </c>
      <c r="AC468" s="12" t="b">
        <f t="shared" si="189"/>
        <v>1</v>
      </c>
      <c r="AD468" s="12" t="b">
        <f t="shared" si="190"/>
        <v>1</v>
      </c>
      <c r="AE468" s="12" t="b">
        <f t="shared" si="191"/>
        <v>1</v>
      </c>
      <c r="AF468" s="12" t="b">
        <f t="shared" si="192"/>
        <v>1</v>
      </c>
    </row>
    <row r="469" spans="1:32" s="44" customFormat="1" ht="17.25" customHeight="1">
      <c r="A469" s="285"/>
      <c r="B469" s="23" t="s">
        <v>145</v>
      </c>
      <c r="C469" s="36" t="s">
        <v>102</v>
      </c>
      <c r="D469" s="37" t="s">
        <v>104</v>
      </c>
      <c r="E469" s="37" t="s">
        <v>33</v>
      </c>
      <c r="F469" s="37" t="s">
        <v>1122</v>
      </c>
      <c r="G469" s="37" t="s">
        <v>153</v>
      </c>
      <c r="H469" s="183">
        <v>0</v>
      </c>
      <c r="I469" s="183">
        <v>0</v>
      </c>
      <c r="J469" s="183">
        <v>410</v>
      </c>
      <c r="K469" s="183">
        <v>0</v>
      </c>
      <c r="L469" s="183">
        <v>0</v>
      </c>
      <c r="M469" s="183">
        <v>410</v>
      </c>
      <c r="N469" s="43">
        <f t="shared" si="181"/>
        <v>0</v>
      </c>
      <c r="O469" s="183">
        <v>0</v>
      </c>
      <c r="P469" s="183">
        <v>0</v>
      </c>
      <c r="Q469" s="183">
        <v>410</v>
      </c>
      <c r="R469" s="472">
        <f t="shared" si="201"/>
        <v>0</v>
      </c>
      <c r="S469" s="472">
        <f t="shared" si="202"/>
        <v>0</v>
      </c>
      <c r="T469" s="472">
        <f t="shared" si="203"/>
        <v>0</v>
      </c>
      <c r="U469" s="23" t="s">
        <v>145</v>
      </c>
      <c r="V469" s="36" t="s">
        <v>102</v>
      </c>
      <c r="W469" s="37" t="s">
        <v>104</v>
      </c>
      <c r="X469" s="37" t="s">
        <v>33</v>
      </c>
      <c r="Y469" s="37" t="s">
        <v>1122</v>
      </c>
      <c r="Z469" s="37" t="s">
        <v>153</v>
      </c>
      <c r="AA469" s="12" t="b">
        <f t="shared" si="187"/>
        <v>1</v>
      </c>
      <c r="AB469" s="12" t="b">
        <f t="shared" si="188"/>
        <v>1</v>
      </c>
      <c r="AC469" s="12" t="b">
        <f t="shared" si="189"/>
        <v>1</v>
      </c>
      <c r="AD469" s="12" t="b">
        <f t="shared" si="190"/>
        <v>1</v>
      </c>
      <c r="AE469" s="12" t="b">
        <f t="shared" si="191"/>
        <v>1</v>
      </c>
      <c r="AF469" s="12" t="b">
        <f t="shared" si="192"/>
        <v>1</v>
      </c>
    </row>
    <row r="470" spans="1:32" s="44" customFormat="1" ht="17.25" customHeight="1">
      <c r="A470" s="285"/>
      <c r="B470" s="182" t="s">
        <v>209</v>
      </c>
      <c r="C470" s="36" t="s">
        <v>102</v>
      </c>
      <c r="D470" s="37" t="s">
        <v>104</v>
      </c>
      <c r="E470" s="37" t="s">
        <v>33</v>
      </c>
      <c r="F470" s="37" t="s">
        <v>337</v>
      </c>
      <c r="G470" s="37" t="s">
        <v>90</v>
      </c>
      <c r="H470" s="183">
        <f>H471</f>
        <v>51985.120000000003</v>
      </c>
      <c r="I470" s="183">
        <f>I471</f>
        <v>52035</v>
      </c>
      <c r="J470" s="183">
        <f>J471</f>
        <v>52058.22</v>
      </c>
      <c r="K470" s="183">
        <v>51985.120000000003</v>
      </c>
      <c r="L470" s="183">
        <v>52035</v>
      </c>
      <c r="M470" s="183">
        <v>52058.22</v>
      </c>
      <c r="N470" s="43">
        <f t="shared" si="181"/>
        <v>0</v>
      </c>
      <c r="O470" s="183">
        <v>51970.070000000007</v>
      </c>
      <c r="P470" s="183">
        <v>52019.950000000004</v>
      </c>
      <c r="Q470" s="183">
        <v>52043.17</v>
      </c>
      <c r="R470" s="472">
        <f t="shared" si="201"/>
        <v>15.049999999995634</v>
      </c>
      <c r="S470" s="472">
        <f t="shared" si="202"/>
        <v>15.049999999995634</v>
      </c>
      <c r="T470" s="472">
        <f t="shared" si="203"/>
        <v>15.05000000000291</v>
      </c>
      <c r="U470" s="182" t="s">
        <v>209</v>
      </c>
      <c r="V470" s="36" t="s">
        <v>102</v>
      </c>
      <c r="W470" s="37" t="s">
        <v>104</v>
      </c>
      <c r="X470" s="37" t="s">
        <v>33</v>
      </c>
      <c r="Y470" s="37" t="s">
        <v>337</v>
      </c>
      <c r="Z470" s="37" t="s">
        <v>90</v>
      </c>
      <c r="AA470" s="12" t="b">
        <f t="shared" si="187"/>
        <v>1</v>
      </c>
      <c r="AB470" s="12" t="b">
        <f t="shared" si="188"/>
        <v>1</v>
      </c>
      <c r="AC470" s="12" t="b">
        <f t="shared" si="189"/>
        <v>1</v>
      </c>
      <c r="AD470" s="12" t="b">
        <f t="shared" si="190"/>
        <v>1</v>
      </c>
      <c r="AE470" s="12" t="b">
        <f t="shared" si="191"/>
        <v>1</v>
      </c>
      <c r="AF470" s="12" t="b">
        <f t="shared" si="192"/>
        <v>1</v>
      </c>
    </row>
    <row r="471" spans="1:32" s="44" customFormat="1" ht="17.25" customHeight="1">
      <c r="A471" s="285"/>
      <c r="B471" s="182" t="s">
        <v>210</v>
      </c>
      <c r="C471" s="36" t="s">
        <v>102</v>
      </c>
      <c r="D471" s="37" t="s">
        <v>104</v>
      </c>
      <c r="E471" s="37" t="s">
        <v>33</v>
      </c>
      <c r="F471" s="37" t="s">
        <v>338</v>
      </c>
      <c r="G471" s="37" t="s">
        <v>90</v>
      </c>
      <c r="H471" s="183">
        <f>H472+H476+H481+H478</f>
        <v>51985.120000000003</v>
      </c>
      <c r="I471" s="183">
        <f>I472+I476+I481+I478</f>
        <v>52035</v>
      </c>
      <c r="J471" s="183">
        <f>J472+J476+J481+J478</f>
        <v>52058.22</v>
      </c>
      <c r="K471" s="183">
        <v>51985.120000000003</v>
      </c>
      <c r="L471" s="183">
        <v>52035</v>
      </c>
      <c r="M471" s="183">
        <v>52058.22</v>
      </c>
      <c r="N471" s="43">
        <f t="shared" si="181"/>
        <v>0</v>
      </c>
      <c r="O471" s="183">
        <v>51970.070000000007</v>
      </c>
      <c r="P471" s="183">
        <v>52019.950000000004</v>
      </c>
      <c r="Q471" s="183">
        <v>52043.17</v>
      </c>
      <c r="R471" s="472">
        <f t="shared" si="201"/>
        <v>15.049999999995634</v>
      </c>
      <c r="S471" s="472">
        <f t="shared" si="202"/>
        <v>15.049999999995634</v>
      </c>
      <c r="T471" s="472">
        <f t="shared" si="203"/>
        <v>15.05000000000291</v>
      </c>
      <c r="U471" s="182" t="s">
        <v>210</v>
      </c>
      <c r="V471" s="36" t="s">
        <v>102</v>
      </c>
      <c r="W471" s="37" t="s">
        <v>104</v>
      </c>
      <c r="X471" s="37" t="s">
        <v>33</v>
      </c>
      <c r="Y471" s="37" t="s">
        <v>338</v>
      </c>
      <c r="Z471" s="37" t="s">
        <v>90</v>
      </c>
      <c r="AA471" s="12" t="b">
        <f t="shared" si="187"/>
        <v>1</v>
      </c>
      <c r="AB471" s="12" t="b">
        <f t="shared" si="188"/>
        <v>1</v>
      </c>
      <c r="AC471" s="12" t="b">
        <f t="shared" si="189"/>
        <v>1</v>
      </c>
      <c r="AD471" s="12" t="b">
        <f t="shared" si="190"/>
        <v>1</v>
      </c>
      <c r="AE471" s="12" t="b">
        <f t="shared" si="191"/>
        <v>1</v>
      </c>
      <c r="AF471" s="12" t="b">
        <f t="shared" si="192"/>
        <v>1</v>
      </c>
    </row>
    <row r="472" spans="1:32" s="44" customFormat="1" ht="17.25" customHeight="1">
      <c r="A472" s="285"/>
      <c r="B472" s="182" t="s">
        <v>151</v>
      </c>
      <c r="C472" s="36" t="s">
        <v>102</v>
      </c>
      <c r="D472" s="37" t="s">
        <v>104</v>
      </c>
      <c r="E472" s="37" t="s">
        <v>33</v>
      </c>
      <c r="F472" s="37" t="s">
        <v>339</v>
      </c>
      <c r="G472" s="37" t="s">
        <v>90</v>
      </c>
      <c r="H472" s="183">
        <f>H473+H474+H475</f>
        <v>9983.4399999999987</v>
      </c>
      <c r="I472" s="183">
        <f>I473+I474+I475</f>
        <v>10032.4</v>
      </c>
      <c r="J472" s="183">
        <f>J473+J474+J475</f>
        <v>10054.67</v>
      </c>
      <c r="K472" s="183">
        <v>9983.4399999999987</v>
      </c>
      <c r="L472" s="183">
        <v>10032.4</v>
      </c>
      <c r="M472" s="183">
        <v>10054.67</v>
      </c>
      <c r="N472" s="43">
        <f t="shared" si="181"/>
        <v>0</v>
      </c>
      <c r="O472" s="183">
        <v>9983.4399999999987</v>
      </c>
      <c r="P472" s="183">
        <v>10032.4</v>
      </c>
      <c r="Q472" s="183">
        <v>10054.67</v>
      </c>
      <c r="R472" s="472">
        <f t="shared" si="201"/>
        <v>0</v>
      </c>
      <c r="S472" s="472">
        <f t="shared" si="202"/>
        <v>0</v>
      </c>
      <c r="T472" s="472">
        <f t="shared" si="203"/>
        <v>0</v>
      </c>
      <c r="U472" s="182" t="s">
        <v>151</v>
      </c>
      <c r="V472" s="36" t="s">
        <v>102</v>
      </c>
      <c r="W472" s="37" t="s">
        <v>104</v>
      </c>
      <c r="X472" s="37" t="s">
        <v>33</v>
      </c>
      <c r="Y472" s="37" t="s">
        <v>339</v>
      </c>
      <c r="Z472" s="37" t="s">
        <v>90</v>
      </c>
      <c r="AA472" s="12" t="b">
        <f t="shared" si="187"/>
        <v>1</v>
      </c>
      <c r="AB472" s="12" t="b">
        <f t="shared" si="188"/>
        <v>1</v>
      </c>
      <c r="AC472" s="12" t="b">
        <f t="shared" si="189"/>
        <v>1</v>
      </c>
      <c r="AD472" s="12" t="b">
        <f t="shared" si="190"/>
        <v>1</v>
      </c>
      <c r="AE472" s="12" t="b">
        <f t="shared" si="191"/>
        <v>1</v>
      </c>
      <c r="AF472" s="12" t="b">
        <f t="shared" si="192"/>
        <v>1</v>
      </c>
    </row>
    <row r="473" spans="1:32" s="44" customFormat="1" ht="17.25" customHeight="1">
      <c r="A473" s="285"/>
      <c r="B473" s="182" t="s">
        <v>341</v>
      </c>
      <c r="C473" s="36" t="s">
        <v>102</v>
      </c>
      <c r="D473" s="37" t="s">
        <v>104</v>
      </c>
      <c r="E473" s="37" t="s">
        <v>33</v>
      </c>
      <c r="F473" s="37" t="s">
        <v>339</v>
      </c>
      <c r="G473" s="37" t="s">
        <v>152</v>
      </c>
      <c r="H473" s="183">
        <f>512.73+154.84</f>
        <v>667.57</v>
      </c>
      <c r="I473" s="183">
        <v>667.57</v>
      </c>
      <c r="J473" s="183">
        <v>667.57</v>
      </c>
      <c r="K473" s="183">
        <v>667.57</v>
      </c>
      <c r="L473" s="183">
        <v>667.57</v>
      </c>
      <c r="M473" s="183">
        <v>667.57</v>
      </c>
      <c r="N473" s="43">
        <f t="shared" si="181"/>
        <v>0</v>
      </c>
      <c r="O473" s="183">
        <v>667.57</v>
      </c>
      <c r="P473" s="183">
        <v>667.57</v>
      </c>
      <c r="Q473" s="183">
        <v>667.57</v>
      </c>
      <c r="R473" s="472">
        <f t="shared" si="201"/>
        <v>0</v>
      </c>
      <c r="S473" s="472">
        <f t="shared" si="202"/>
        <v>0</v>
      </c>
      <c r="T473" s="472">
        <f t="shared" si="203"/>
        <v>0</v>
      </c>
      <c r="U473" s="182" t="s">
        <v>341</v>
      </c>
      <c r="V473" s="36" t="s">
        <v>102</v>
      </c>
      <c r="W473" s="37" t="s">
        <v>104</v>
      </c>
      <c r="X473" s="37" t="s">
        <v>33</v>
      </c>
      <c r="Y473" s="37" t="s">
        <v>339</v>
      </c>
      <c r="Z473" s="37" t="s">
        <v>152</v>
      </c>
      <c r="AA473" s="12" t="b">
        <f t="shared" si="187"/>
        <v>1</v>
      </c>
      <c r="AB473" s="12" t="b">
        <f t="shared" si="188"/>
        <v>1</v>
      </c>
      <c r="AC473" s="12" t="b">
        <f t="shared" si="189"/>
        <v>1</v>
      </c>
      <c r="AD473" s="12" t="b">
        <f t="shared" si="190"/>
        <v>1</v>
      </c>
      <c r="AE473" s="12" t="b">
        <f t="shared" si="191"/>
        <v>1</v>
      </c>
      <c r="AF473" s="12" t="b">
        <f t="shared" si="192"/>
        <v>1</v>
      </c>
    </row>
    <row r="474" spans="1:32" s="44" customFormat="1" ht="17.25" customHeight="1">
      <c r="A474" s="285"/>
      <c r="B474" s="182" t="s">
        <v>145</v>
      </c>
      <c r="C474" s="36" t="s">
        <v>102</v>
      </c>
      <c r="D474" s="37" t="s">
        <v>104</v>
      </c>
      <c r="E474" s="37" t="s">
        <v>33</v>
      </c>
      <c r="F474" s="37" t="s">
        <v>339</v>
      </c>
      <c r="G474" s="37" t="s">
        <v>153</v>
      </c>
      <c r="H474" s="183">
        <f>8049.87+1224</f>
        <v>9273.869999999999</v>
      </c>
      <c r="I474" s="183">
        <f>8049.87+1272.96</f>
        <v>9322.83</v>
      </c>
      <c r="J474" s="183">
        <f>8049.87+1295.23</f>
        <v>9345.1</v>
      </c>
      <c r="K474" s="183">
        <v>9273.869999999999</v>
      </c>
      <c r="L474" s="183">
        <v>9322.83</v>
      </c>
      <c r="M474" s="183">
        <v>9345.1</v>
      </c>
      <c r="N474" s="43">
        <f t="shared" si="181"/>
        <v>0</v>
      </c>
      <c r="O474" s="183">
        <v>9273.869999999999</v>
      </c>
      <c r="P474" s="183">
        <v>9322.83</v>
      </c>
      <c r="Q474" s="183">
        <v>9345.1</v>
      </c>
      <c r="R474" s="472">
        <f t="shared" si="201"/>
        <v>0</v>
      </c>
      <c r="S474" s="472">
        <f t="shared" si="202"/>
        <v>0</v>
      </c>
      <c r="T474" s="472">
        <f t="shared" si="203"/>
        <v>0</v>
      </c>
      <c r="U474" s="182" t="s">
        <v>145</v>
      </c>
      <c r="V474" s="36" t="s">
        <v>102</v>
      </c>
      <c r="W474" s="37" t="s">
        <v>104</v>
      </c>
      <c r="X474" s="37" t="s">
        <v>33</v>
      </c>
      <c r="Y474" s="37" t="s">
        <v>339</v>
      </c>
      <c r="Z474" s="37" t="s">
        <v>153</v>
      </c>
      <c r="AA474" s="12" t="b">
        <f t="shared" si="187"/>
        <v>1</v>
      </c>
      <c r="AB474" s="12" t="b">
        <f t="shared" si="188"/>
        <v>1</v>
      </c>
      <c r="AC474" s="12" t="b">
        <f t="shared" si="189"/>
        <v>1</v>
      </c>
      <c r="AD474" s="12" t="b">
        <f t="shared" si="190"/>
        <v>1</v>
      </c>
      <c r="AE474" s="12" t="b">
        <f t="shared" si="191"/>
        <v>1</v>
      </c>
      <c r="AF474" s="12" t="b">
        <f t="shared" si="192"/>
        <v>1</v>
      </c>
    </row>
    <row r="475" spans="1:32" s="44" customFormat="1" ht="17.25" customHeight="1">
      <c r="A475" s="285"/>
      <c r="B475" s="182" t="s">
        <v>137</v>
      </c>
      <c r="C475" s="36" t="s">
        <v>102</v>
      </c>
      <c r="D475" s="37" t="s">
        <v>104</v>
      </c>
      <c r="E475" s="37" t="s">
        <v>33</v>
      </c>
      <c r="F475" s="37" t="s">
        <v>339</v>
      </c>
      <c r="G475" s="37" t="s">
        <v>155</v>
      </c>
      <c r="H475" s="183">
        <v>42</v>
      </c>
      <c r="I475" s="183">
        <v>42</v>
      </c>
      <c r="J475" s="183">
        <v>42</v>
      </c>
      <c r="K475" s="183">
        <v>42</v>
      </c>
      <c r="L475" s="183">
        <v>42</v>
      </c>
      <c r="M475" s="183">
        <v>42</v>
      </c>
      <c r="N475" s="43">
        <f t="shared" si="181"/>
        <v>0</v>
      </c>
      <c r="O475" s="183">
        <v>42</v>
      </c>
      <c r="P475" s="183">
        <v>42</v>
      </c>
      <c r="Q475" s="183">
        <v>42</v>
      </c>
      <c r="R475" s="472">
        <f t="shared" si="201"/>
        <v>0</v>
      </c>
      <c r="S475" s="472">
        <f t="shared" si="202"/>
        <v>0</v>
      </c>
      <c r="T475" s="472">
        <f t="shared" si="203"/>
        <v>0</v>
      </c>
      <c r="U475" s="182" t="s">
        <v>137</v>
      </c>
      <c r="V475" s="36" t="s">
        <v>102</v>
      </c>
      <c r="W475" s="37" t="s">
        <v>104</v>
      </c>
      <c r="X475" s="37" t="s">
        <v>33</v>
      </c>
      <c r="Y475" s="37" t="s">
        <v>339</v>
      </c>
      <c r="Z475" s="37" t="s">
        <v>155</v>
      </c>
      <c r="AA475" s="12" t="b">
        <f t="shared" si="187"/>
        <v>1</v>
      </c>
      <c r="AB475" s="12" t="b">
        <f t="shared" si="188"/>
        <v>1</v>
      </c>
      <c r="AC475" s="12" t="b">
        <f t="shared" si="189"/>
        <v>1</v>
      </c>
      <c r="AD475" s="12" t="b">
        <f t="shared" si="190"/>
        <v>1</v>
      </c>
      <c r="AE475" s="12" t="b">
        <f t="shared" si="191"/>
        <v>1</v>
      </c>
      <c r="AF475" s="12" t="b">
        <f t="shared" si="192"/>
        <v>1</v>
      </c>
    </row>
    <row r="476" spans="1:32" s="44" customFormat="1" ht="17.25" customHeight="1">
      <c r="A476" s="285"/>
      <c r="B476" s="182" t="s">
        <v>161</v>
      </c>
      <c r="C476" s="36" t="s">
        <v>102</v>
      </c>
      <c r="D476" s="37" t="s">
        <v>104</v>
      </c>
      <c r="E476" s="37" t="s">
        <v>33</v>
      </c>
      <c r="F476" s="37" t="s">
        <v>340</v>
      </c>
      <c r="G476" s="37" t="s">
        <v>90</v>
      </c>
      <c r="H476" s="183">
        <f>H477</f>
        <v>30670.03</v>
      </c>
      <c r="I476" s="183">
        <f>I477</f>
        <v>30670.03</v>
      </c>
      <c r="J476" s="183">
        <f>J477</f>
        <v>30670.03</v>
      </c>
      <c r="K476" s="183">
        <v>30670.03</v>
      </c>
      <c r="L476" s="183">
        <v>30670.03</v>
      </c>
      <c r="M476" s="183">
        <v>30670.03</v>
      </c>
      <c r="N476" s="43">
        <f t="shared" si="181"/>
        <v>0</v>
      </c>
      <c r="O476" s="183">
        <v>30670.03</v>
      </c>
      <c r="P476" s="183">
        <v>30670.03</v>
      </c>
      <c r="Q476" s="183">
        <v>30670.03</v>
      </c>
      <c r="R476" s="472">
        <f t="shared" si="201"/>
        <v>0</v>
      </c>
      <c r="S476" s="472">
        <f t="shared" si="202"/>
        <v>0</v>
      </c>
      <c r="T476" s="472">
        <f t="shared" si="203"/>
        <v>0</v>
      </c>
      <c r="U476" s="182" t="s">
        <v>161</v>
      </c>
      <c r="V476" s="36" t="s">
        <v>102</v>
      </c>
      <c r="W476" s="37" t="s">
        <v>104</v>
      </c>
      <c r="X476" s="37" t="s">
        <v>33</v>
      </c>
      <c r="Y476" s="37" t="s">
        <v>340</v>
      </c>
      <c r="Z476" s="37" t="s">
        <v>90</v>
      </c>
      <c r="AA476" s="12" t="b">
        <f t="shared" si="187"/>
        <v>1</v>
      </c>
      <c r="AB476" s="12" t="b">
        <f t="shared" si="188"/>
        <v>1</v>
      </c>
      <c r="AC476" s="12" t="b">
        <f t="shared" si="189"/>
        <v>1</v>
      </c>
      <c r="AD476" s="12" t="b">
        <f t="shared" si="190"/>
        <v>1</v>
      </c>
      <c r="AE476" s="12" t="b">
        <f t="shared" si="191"/>
        <v>1</v>
      </c>
      <c r="AF476" s="12" t="b">
        <f t="shared" si="192"/>
        <v>1</v>
      </c>
    </row>
    <row r="477" spans="1:32" s="44" customFormat="1" ht="17.25" customHeight="1">
      <c r="A477" s="285"/>
      <c r="B477" s="54" t="s">
        <v>341</v>
      </c>
      <c r="C477" s="56" t="s">
        <v>102</v>
      </c>
      <c r="D477" s="57" t="s">
        <v>104</v>
      </c>
      <c r="E477" s="57" t="s">
        <v>33</v>
      </c>
      <c r="F477" s="57" t="s">
        <v>340</v>
      </c>
      <c r="G477" s="57" t="s">
        <v>152</v>
      </c>
      <c r="H477" s="58">
        <f>23556.09+7113.94</f>
        <v>30670.03</v>
      </c>
      <c r="I477" s="58">
        <f t="shared" ref="I477:J477" si="205">23556.09+7113.94</f>
        <v>30670.03</v>
      </c>
      <c r="J477" s="58">
        <f t="shared" si="205"/>
        <v>30670.03</v>
      </c>
      <c r="K477" s="58">
        <v>30670.03</v>
      </c>
      <c r="L477" s="58">
        <v>30670.03</v>
      </c>
      <c r="M477" s="58">
        <v>30670.03</v>
      </c>
      <c r="N477" s="43">
        <f t="shared" si="181"/>
        <v>0</v>
      </c>
      <c r="O477" s="58">
        <v>30670.03</v>
      </c>
      <c r="P477" s="58">
        <v>30670.03</v>
      </c>
      <c r="Q477" s="58">
        <v>30670.03</v>
      </c>
      <c r="R477" s="472">
        <f t="shared" si="201"/>
        <v>0</v>
      </c>
      <c r="S477" s="472">
        <f t="shared" si="202"/>
        <v>0</v>
      </c>
      <c r="T477" s="472">
        <f t="shared" si="203"/>
        <v>0</v>
      </c>
      <c r="U477" s="54" t="s">
        <v>341</v>
      </c>
      <c r="V477" s="56" t="s">
        <v>102</v>
      </c>
      <c r="W477" s="57" t="s">
        <v>104</v>
      </c>
      <c r="X477" s="57" t="s">
        <v>33</v>
      </c>
      <c r="Y477" s="57" t="s">
        <v>340</v>
      </c>
      <c r="Z477" s="57" t="s">
        <v>152</v>
      </c>
      <c r="AA477" s="12" t="b">
        <f t="shared" si="187"/>
        <v>1</v>
      </c>
      <c r="AB477" s="12" t="b">
        <f t="shared" si="188"/>
        <v>1</v>
      </c>
      <c r="AC477" s="12" t="b">
        <f t="shared" si="189"/>
        <v>1</v>
      </c>
      <c r="AD477" s="12" t="b">
        <f t="shared" si="190"/>
        <v>1</v>
      </c>
      <c r="AE477" s="12" t="b">
        <f t="shared" si="191"/>
        <v>1</v>
      </c>
      <c r="AF477" s="12" t="b">
        <f t="shared" si="192"/>
        <v>1</v>
      </c>
    </row>
    <row r="478" spans="1:32" s="44" customFormat="1" ht="17.25" customHeight="1">
      <c r="A478" s="285"/>
      <c r="B478" s="178" t="s">
        <v>254</v>
      </c>
      <c r="C478" s="36" t="s">
        <v>102</v>
      </c>
      <c r="D478" s="37" t="s">
        <v>104</v>
      </c>
      <c r="E478" s="37" t="s">
        <v>33</v>
      </c>
      <c r="F478" s="37" t="s">
        <v>808</v>
      </c>
      <c r="G478" s="37" t="s">
        <v>90</v>
      </c>
      <c r="H478" s="183">
        <f>SUM(H479:H480)</f>
        <v>8357.25</v>
      </c>
      <c r="I478" s="183">
        <f>SUM(I479:I480)</f>
        <v>8358.17</v>
      </c>
      <c r="J478" s="183">
        <f>SUM(J479:J480)</f>
        <v>8359.1200000000008</v>
      </c>
      <c r="K478" s="183">
        <v>8357.25</v>
      </c>
      <c r="L478" s="183">
        <v>8358.17</v>
      </c>
      <c r="M478" s="183">
        <v>8359.1200000000008</v>
      </c>
      <c r="N478" s="43">
        <f t="shared" si="181"/>
        <v>0</v>
      </c>
      <c r="O478" s="183">
        <v>8342.2000000000007</v>
      </c>
      <c r="P478" s="183">
        <v>8343.1200000000008</v>
      </c>
      <c r="Q478" s="183">
        <v>8344.07</v>
      </c>
      <c r="R478" s="472">
        <f t="shared" si="201"/>
        <v>15.049999999999272</v>
      </c>
      <c r="S478" s="472">
        <f t="shared" si="202"/>
        <v>15.049999999999272</v>
      </c>
      <c r="T478" s="472">
        <f t="shared" si="203"/>
        <v>15.050000000001091</v>
      </c>
      <c r="U478" s="178" t="s">
        <v>254</v>
      </c>
      <c r="V478" s="36" t="s">
        <v>102</v>
      </c>
      <c r="W478" s="37" t="s">
        <v>104</v>
      </c>
      <c r="X478" s="37" t="s">
        <v>33</v>
      </c>
      <c r="Y478" s="37" t="s">
        <v>808</v>
      </c>
      <c r="Z478" s="37" t="s">
        <v>90</v>
      </c>
      <c r="AA478" s="12" t="b">
        <f t="shared" si="187"/>
        <v>1</v>
      </c>
      <c r="AB478" s="12" t="b">
        <f t="shared" si="188"/>
        <v>1</v>
      </c>
      <c r="AC478" s="12" t="b">
        <f t="shared" si="189"/>
        <v>1</v>
      </c>
      <c r="AD478" s="12" t="b">
        <f t="shared" si="190"/>
        <v>1</v>
      </c>
      <c r="AE478" s="12" t="b">
        <f t="shared" si="191"/>
        <v>1</v>
      </c>
      <c r="AF478" s="12" t="b">
        <f t="shared" si="192"/>
        <v>1</v>
      </c>
    </row>
    <row r="479" spans="1:32" s="44" customFormat="1" ht="17.25" customHeight="1">
      <c r="A479" s="285"/>
      <c r="B479" s="253" t="s">
        <v>143</v>
      </c>
      <c r="C479" s="56" t="s">
        <v>102</v>
      </c>
      <c r="D479" s="57" t="s">
        <v>104</v>
      </c>
      <c r="E479" s="57" t="s">
        <v>33</v>
      </c>
      <c r="F479" s="57" t="s">
        <v>808</v>
      </c>
      <c r="G479" s="57" t="s">
        <v>157</v>
      </c>
      <c r="H479" s="58">
        <f>6117.71+1847.54+15.05</f>
        <v>7980.3</v>
      </c>
      <c r="I479" s="58">
        <f t="shared" ref="I479:J479" si="206">6117.71+1847.54+15.05</f>
        <v>7980.3</v>
      </c>
      <c r="J479" s="58">
        <f t="shared" si="206"/>
        <v>7980.3</v>
      </c>
      <c r="K479" s="58">
        <v>7980.3</v>
      </c>
      <c r="L479" s="58">
        <v>7980.3</v>
      </c>
      <c r="M479" s="58">
        <v>7980.3</v>
      </c>
      <c r="N479" s="43">
        <f t="shared" si="181"/>
        <v>0</v>
      </c>
      <c r="O479" s="58">
        <v>7965.25</v>
      </c>
      <c r="P479" s="58">
        <v>7965.25</v>
      </c>
      <c r="Q479" s="58">
        <v>7965.25</v>
      </c>
      <c r="R479" s="472">
        <f t="shared" si="201"/>
        <v>15.050000000000182</v>
      </c>
      <c r="S479" s="472">
        <f t="shared" si="202"/>
        <v>15.050000000000182</v>
      </c>
      <c r="T479" s="472">
        <f t="shared" si="203"/>
        <v>15.050000000000182</v>
      </c>
      <c r="U479" s="253" t="s">
        <v>143</v>
      </c>
      <c r="V479" s="56" t="s">
        <v>102</v>
      </c>
      <c r="W479" s="57" t="s">
        <v>104</v>
      </c>
      <c r="X479" s="57" t="s">
        <v>33</v>
      </c>
      <c r="Y479" s="57" t="s">
        <v>808</v>
      </c>
      <c r="Z479" s="57" t="s">
        <v>157</v>
      </c>
      <c r="AA479" s="12" t="b">
        <f t="shared" si="187"/>
        <v>1</v>
      </c>
      <c r="AB479" s="12" t="b">
        <f t="shared" si="188"/>
        <v>1</v>
      </c>
      <c r="AC479" s="12" t="b">
        <f t="shared" si="189"/>
        <v>1</v>
      </c>
      <c r="AD479" s="12" t="b">
        <f t="shared" si="190"/>
        <v>1</v>
      </c>
      <c r="AE479" s="12" t="b">
        <f t="shared" si="191"/>
        <v>1</v>
      </c>
      <c r="AF479" s="12" t="b">
        <f t="shared" si="192"/>
        <v>1</v>
      </c>
    </row>
    <row r="480" spans="1:32" s="44" customFormat="1" ht="17.25" customHeight="1">
      <c r="A480" s="285"/>
      <c r="B480" s="182" t="s">
        <v>145</v>
      </c>
      <c r="C480" s="36" t="s">
        <v>102</v>
      </c>
      <c r="D480" s="37" t="s">
        <v>104</v>
      </c>
      <c r="E480" s="37" t="s">
        <v>33</v>
      </c>
      <c r="F480" s="37" t="s">
        <v>808</v>
      </c>
      <c r="G480" s="37" t="s">
        <v>153</v>
      </c>
      <c r="H480" s="183">
        <f>376.95</f>
        <v>376.95</v>
      </c>
      <c r="I480" s="183">
        <f>354+23.87</f>
        <v>377.87</v>
      </c>
      <c r="J480" s="183">
        <f>354+24.82</f>
        <v>378.82</v>
      </c>
      <c r="K480" s="183">
        <v>376.95</v>
      </c>
      <c r="L480" s="183">
        <v>377.87</v>
      </c>
      <c r="M480" s="183">
        <v>378.82</v>
      </c>
      <c r="N480" s="43">
        <f t="shared" si="181"/>
        <v>0</v>
      </c>
      <c r="O480" s="183">
        <v>376.95</v>
      </c>
      <c r="P480" s="183">
        <v>377.87</v>
      </c>
      <c r="Q480" s="183">
        <v>378.82</v>
      </c>
      <c r="R480" s="472">
        <f t="shared" si="201"/>
        <v>0</v>
      </c>
      <c r="S480" s="472">
        <f t="shared" si="202"/>
        <v>0</v>
      </c>
      <c r="T480" s="472">
        <f t="shared" si="203"/>
        <v>0</v>
      </c>
      <c r="U480" s="182" t="s">
        <v>145</v>
      </c>
      <c r="V480" s="36" t="s">
        <v>102</v>
      </c>
      <c r="W480" s="37" t="s">
        <v>104</v>
      </c>
      <c r="X480" s="37" t="s">
        <v>33</v>
      </c>
      <c r="Y480" s="37" t="s">
        <v>808</v>
      </c>
      <c r="Z480" s="37" t="s">
        <v>153</v>
      </c>
      <c r="AA480" s="12" t="b">
        <f t="shared" si="187"/>
        <v>1</v>
      </c>
      <c r="AB480" s="12" t="b">
        <f t="shared" si="188"/>
        <v>1</v>
      </c>
      <c r="AC480" s="12" t="b">
        <f t="shared" si="189"/>
        <v>1</v>
      </c>
      <c r="AD480" s="12" t="b">
        <f t="shared" si="190"/>
        <v>1</v>
      </c>
      <c r="AE480" s="12" t="b">
        <f t="shared" si="191"/>
        <v>1</v>
      </c>
      <c r="AF480" s="12" t="b">
        <f t="shared" si="192"/>
        <v>1</v>
      </c>
    </row>
    <row r="481" spans="1:32" s="44" customFormat="1" ht="17.25" customHeight="1">
      <c r="A481" s="285" t="s">
        <v>799</v>
      </c>
      <c r="B481" s="182" t="s">
        <v>848</v>
      </c>
      <c r="C481" s="36" t="s">
        <v>102</v>
      </c>
      <c r="D481" s="37" t="s">
        <v>104</v>
      </c>
      <c r="E481" s="37" t="s">
        <v>33</v>
      </c>
      <c r="F481" s="37" t="s">
        <v>342</v>
      </c>
      <c r="G481" s="37" t="s">
        <v>90</v>
      </c>
      <c r="H481" s="183">
        <f>H482+H483</f>
        <v>2974.3999999999996</v>
      </c>
      <c r="I481" s="183">
        <f>I482+I483</f>
        <v>2974.3999999999996</v>
      </c>
      <c r="J481" s="183">
        <f>J482+J483</f>
        <v>2974.3999999999996</v>
      </c>
      <c r="K481" s="183">
        <v>2974.3999999999996</v>
      </c>
      <c r="L481" s="183">
        <v>2974.3999999999996</v>
      </c>
      <c r="M481" s="183">
        <v>2974.3999999999996</v>
      </c>
      <c r="N481" s="43">
        <f t="shared" si="181"/>
        <v>0</v>
      </c>
      <c r="O481" s="183">
        <v>2974.3999999999996</v>
      </c>
      <c r="P481" s="183">
        <v>2974.3999999999996</v>
      </c>
      <c r="Q481" s="183">
        <v>2974.3999999999996</v>
      </c>
      <c r="R481" s="472">
        <f t="shared" si="201"/>
        <v>0</v>
      </c>
      <c r="S481" s="472">
        <f t="shared" si="202"/>
        <v>0</v>
      </c>
      <c r="T481" s="472">
        <f t="shared" si="203"/>
        <v>0</v>
      </c>
      <c r="U481" s="182" t="s">
        <v>848</v>
      </c>
      <c r="V481" s="36" t="s">
        <v>102</v>
      </c>
      <c r="W481" s="37" t="s">
        <v>104</v>
      </c>
      <c r="X481" s="37" t="s">
        <v>33</v>
      </c>
      <c r="Y481" s="37" t="s">
        <v>342</v>
      </c>
      <c r="Z481" s="37" t="s">
        <v>90</v>
      </c>
      <c r="AA481" s="12" t="b">
        <f t="shared" si="187"/>
        <v>1</v>
      </c>
      <c r="AB481" s="12" t="b">
        <f t="shared" si="188"/>
        <v>1</v>
      </c>
      <c r="AC481" s="12" t="b">
        <f t="shared" si="189"/>
        <v>1</v>
      </c>
      <c r="AD481" s="12" t="b">
        <f t="shared" si="190"/>
        <v>1</v>
      </c>
      <c r="AE481" s="12" t="b">
        <f t="shared" si="191"/>
        <v>1</v>
      </c>
      <c r="AF481" s="12" t="b">
        <f t="shared" si="192"/>
        <v>1</v>
      </c>
    </row>
    <row r="482" spans="1:32" s="44" customFormat="1" ht="17.25" customHeight="1">
      <c r="A482" s="285" t="s">
        <v>799</v>
      </c>
      <c r="B482" s="54" t="s">
        <v>341</v>
      </c>
      <c r="C482" s="56" t="s">
        <v>102</v>
      </c>
      <c r="D482" s="57" t="s">
        <v>104</v>
      </c>
      <c r="E482" s="57" t="s">
        <v>33</v>
      </c>
      <c r="F482" s="57" t="s">
        <v>342</v>
      </c>
      <c r="G482" s="57" t="s">
        <v>152</v>
      </c>
      <c r="H482" s="58">
        <f>2128.19+51.06+658.14</f>
        <v>2837.39</v>
      </c>
      <c r="I482" s="58">
        <f t="shared" ref="I482:J482" si="207">2128.19+51.06+658.14</f>
        <v>2837.39</v>
      </c>
      <c r="J482" s="58">
        <f t="shared" si="207"/>
        <v>2837.39</v>
      </c>
      <c r="K482" s="58">
        <v>2837.39</v>
      </c>
      <c r="L482" s="58">
        <v>2837.39</v>
      </c>
      <c r="M482" s="58">
        <v>2837.39</v>
      </c>
      <c r="N482" s="43">
        <f t="shared" si="181"/>
        <v>0</v>
      </c>
      <c r="O482" s="58">
        <v>2837.39</v>
      </c>
      <c r="P482" s="58">
        <v>2837.39</v>
      </c>
      <c r="Q482" s="58">
        <v>2837.39</v>
      </c>
      <c r="R482" s="472">
        <f t="shared" si="201"/>
        <v>0</v>
      </c>
      <c r="S482" s="472">
        <f t="shared" si="202"/>
        <v>0</v>
      </c>
      <c r="T482" s="472">
        <f t="shared" si="203"/>
        <v>0</v>
      </c>
      <c r="U482" s="54" t="s">
        <v>341</v>
      </c>
      <c r="V482" s="56" t="s">
        <v>102</v>
      </c>
      <c r="W482" s="57" t="s">
        <v>104</v>
      </c>
      <c r="X482" s="57" t="s">
        <v>33</v>
      </c>
      <c r="Y482" s="57" t="s">
        <v>342</v>
      </c>
      <c r="Z482" s="57" t="s">
        <v>152</v>
      </c>
      <c r="AA482" s="12" t="b">
        <f t="shared" si="187"/>
        <v>1</v>
      </c>
      <c r="AB482" s="12" t="b">
        <f t="shared" si="188"/>
        <v>1</v>
      </c>
      <c r="AC482" s="12" t="b">
        <f t="shared" si="189"/>
        <v>1</v>
      </c>
      <c r="AD482" s="12" t="b">
        <f t="shared" si="190"/>
        <v>1</v>
      </c>
      <c r="AE482" s="12" t="b">
        <f t="shared" si="191"/>
        <v>1</v>
      </c>
      <c r="AF482" s="12" t="b">
        <f t="shared" si="192"/>
        <v>1</v>
      </c>
    </row>
    <row r="483" spans="1:32" s="44" customFormat="1" ht="17.25" customHeight="1">
      <c r="A483" s="285"/>
      <c r="B483" s="182" t="s">
        <v>145</v>
      </c>
      <c r="C483" s="36" t="s">
        <v>102</v>
      </c>
      <c r="D483" s="37" t="s">
        <v>104</v>
      </c>
      <c r="E483" s="37" t="s">
        <v>33</v>
      </c>
      <c r="F483" s="37" t="s">
        <v>342</v>
      </c>
      <c r="G483" s="37" t="s">
        <v>153</v>
      </c>
      <c r="H483" s="183">
        <f>137.01</f>
        <v>137.01</v>
      </c>
      <c r="I483" s="183">
        <f t="shared" ref="I483:J483" si="208">137.01</f>
        <v>137.01</v>
      </c>
      <c r="J483" s="183">
        <f t="shared" si="208"/>
        <v>137.01</v>
      </c>
      <c r="K483" s="183">
        <v>137.01</v>
      </c>
      <c r="L483" s="183">
        <v>137.01</v>
      </c>
      <c r="M483" s="183">
        <v>137.01</v>
      </c>
      <c r="N483" s="43">
        <f t="shared" si="181"/>
        <v>0</v>
      </c>
      <c r="O483" s="183">
        <v>137.01</v>
      </c>
      <c r="P483" s="183">
        <v>137.01</v>
      </c>
      <c r="Q483" s="183">
        <v>137.01</v>
      </c>
      <c r="R483" s="472">
        <f t="shared" si="201"/>
        <v>0</v>
      </c>
      <c r="S483" s="472">
        <f t="shared" si="202"/>
        <v>0</v>
      </c>
      <c r="T483" s="472">
        <f t="shared" si="203"/>
        <v>0</v>
      </c>
      <c r="U483" s="182" t="s">
        <v>145</v>
      </c>
      <c r="V483" s="36" t="s">
        <v>102</v>
      </c>
      <c r="W483" s="37" t="s">
        <v>104</v>
      </c>
      <c r="X483" s="37" t="s">
        <v>33</v>
      </c>
      <c r="Y483" s="37" t="s">
        <v>342</v>
      </c>
      <c r="Z483" s="37" t="s">
        <v>153</v>
      </c>
      <c r="AA483" s="12" t="b">
        <f t="shared" si="187"/>
        <v>1</v>
      </c>
      <c r="AB483" s="12" t="b">
        <f t="shared" si="188"/>
        <v>1</v>
      </c>
      <c r="AC483" s="12" t="b">
        <f t="shared" si="189"/>
        <v>1</v>
      </c>
      <c r="AD483" s="12" t="b">
        <f t="shared" si="190"/>
        <v>1</v>
      </c>
      <c r="AE483" s="12" t="b">
        <f t="shared" si="191"/>
        <v>1</v>
      </c>
      <c r="AF483" s="12" t="b">
        <f t="shared" si="192"/>
        <v>1</v>
      </c>
    </row>
    <row r="484" spans="1:32" s="44" customFormat="1" ht="17.25" customHeight="1">
      <c r="A484" s="285"/>
      <c r="B484" s="28" t="s">
        <v>81</v>
      </c>
      <c r="C484" s="29" t="s">
        <v>102</v>
      </c>
      <c r="D484" s="30" t="s">
        <v>13</v>
      </c>
      <c r="E484" s="30" t="s">
        <v>83</v>
      </c>
      <c r="F484" s="30" t="s">
        <v>223</v>
      </c>
      <c r="G484" s="30" t="s">
        <v>90</v>
      </c>
      <c r="H484" s="31">
        <f t="shared" ref="H484:J486" si="209">H485</f>
        <v>163956.46</v>
      </c>
      <c r="I484" s="31">
        <f t="shared" si="209"/>
        <v>161267.09</v>
      </c>
      <c r="J484" s="31">
        <f t="shared" si="209"/>
        <v>163002.01</v>
      </c>
      <c r="K484" s="31">
        <v>159594.55000000002</v>
      </c>
      <c r="L484" s="31">
        <v>161267.09</v>
      </c>
      <c r="M484" s="31">
        <v>163002</v>
      </c>
      <c r="N484" s="43">
        <f t="shared" si="181"/>
        <v>-1.0000000009313226E-2</v>
      </c>
      <c r="O484" s="31">
        <v>159594.55000000002</v>
      </c>
      <c r="P484" s="31">
        <v>161267.09</v>
      </c>
      <c r="Q484" s="31">
        <v>163002</v>
      </c>
      <c r="R484" s="472">
        <f t="shared" si="201"/>
        <v>4361.9099999999744</v>
      </c>
      <c r="S484" s="472">
        <f t="shared" si="202"/>
        <v>0</v>
      </c>
      <c r="T484" s="472">
        <f t="shared" si="203"/>
        <v>1.0000000009313226E-2</v>
      </c>
      <c r="U484" s="28" t="s">
        <v>81</v>
      </c>
      <c r="V484" s="29" t="s">
        <v>102</v>
      </c>
      <c r="W484" s="30" t="s">
        <v>13</v>
      </c>
      <c r="X484" s="30" t="s">
        <v>83</v>
      </c>
      <c r="Y484" s="30" t="s">
        <v>223</v>
      </c>
      <c r="Z484" s="30" t="s">
        <v>90</v>
      </c>
      <c r="AA484" s="12" t="b">
        <f t="shared" si="187"/>
        <v>1</v>
      </c>
      <c r="AB484" s="12" t="b">
        <f t="shared" si="188"/>
        <v>1</v>
      </c>
      <c r="AC484" s="12" t="b">
        <f t="shared" si="189"/>
        <v>1</v>
      </c>
      <c r="AD484" s="12" t="b">
        <f t="shared" si="190"/>
        <v>1</v>
      </c>
      <c r="AE484" s="12" t="b">
        <f t="shared" si="191"/>
        <v>1</v>
      </c>
      <c r="AF484" s="12" t="b">
        <f t="shared" si="192"/>
        <v>1</v>
      </c>
    </row>
    <row r="485" spans="1:32" s="44" customFormat="1" ht="17.25" customHeight="1">
      <c r="A485" s="285"/>
      <c r="B485" s="32" t="s">
        <v>30</v>
      </c>
      <c r="C485" s="33" t="s">
        <v>102</v>
      </c>
      <c r="D485" s="34" t="s">
        <v>13</v>
      </c>
      <c r="E485" s="34" t="s">
        <v>69</v>
      </c>
      <c r="F485" s="34" t="s">
        <v>223</v>
      </c>
      <c r="G485" s="34" t="s">
        <v>90</v>
      </c>
      <c r="H485" s="35">
        <f t="shared" si="209"/>
        <v>163956.46</v>
      </c>
      <c r="I485" s="35">
        <f t="shared" si="209"/>
        <v>161267.09</v>
      </c>
      <c r="J485" s="35">
        <f t="shared" si="209"/>
        <v>163002.01</v>
      </c>
      <c r="K485" s="35">
        <v>159594.55000000002</v>
      </c>
      <c r="L485" s="35">
        <v>161267.09</v>
      </c>
      <c r="M485" s="35">
        <v>163002</v>
      </c>
      <c r="N485" s="43">
        <f t="shared" si="181"/>
        <v>-1.0000000009313226E-2</v>
      </c>
      <c r="O485" s="35">
        <v>159594.55000000002</v>
      </c>
      <c r="P485" s="35">
        <v>161267.09</v>
      </c>
      <c r="Q485" s="35">
        <v>163002</v>
      </c>
      <c r="R485" s="472">
        <f t="shared" si="201"/>
        <v>4361.9099999999744</v>
      </c>
      <c r="S485" s="472">
        <f t="shared" si="202"/>
        <v>0</v>
      </c>
      <c r="T485" s="472">
        <f t="shared" si="203"/>
        <v>1.0000000009313226E-2</v>
      </c>
      <c r="U485" s="32" t="s">
        <v>30</v>
      </c>
      <c r="V485" s="33" t="s">
        <v>102</v>
      </c>
      <c r="W485" s="34" t="s">
        <v>13</v>
      </c>
      <c r="X485" s="34" t="s">
        <v>69</v>
      </c>
      <c r="Y485" s="34" t="s">
        <v>223</v>
      </c>
      <c r="Z485" s="34" t="s">
        <v>90</v>
      </c>
      <c r="AA485" s="12" t="b">
        <f t="shared" si="187"/>
        <v>1</v>
      </c>
      <c r="AB485" s="12" t="b">
        <f t="shared" si="188"/>
        <v>1</v>
      </c>
      <c r="AC485" s="12" t="b">
        <f t="shared" si="189"/>
        <v>1</v>
      </c>
      <c r="AD485" s="12" t="b">
        <f t="shared" si="190"/>
        <v>1</v>
      </c>
      <c r="AE485" s="12" t="b">
        <f t="shared" si="191"/>
        <v>1</v>
      </c>
      <c r="AF485" s="12" t="b">
        <f t="shared" si="192"/>
        <v>1</v>
      </c>
    </row>
    <row r="486" spans="1:32" s="44" customFormat="1" ht="17.25" customHeight="1">
      <c r="A486" s="285"/>
      <c r="B486" s="23" t="s">
        <v>647</v>
      </c>
      <c r="C486" s="36" t="s">
        <v>102</v>
      </c>
      <c r="D486" s="37" t="s">
        <v>13</v>
      </c>
      <c r="E486" s="37" t="s">
        <v>69</v>
      </c>
      <c r="F486" s="37" t="s">
        <v>316</v>
      </c>
      <c r="G486" s="37" t="s">
        <v>90</v>
      </c>
      <c r="H486" s="183">
        <f t="shared" si="209"/>
        <v>163956.46</v>
      </c>
      <c r="I486" s="183">
        <f t="shared" si="209"/>
        <v>161267.09</v>
      </c>
      <c r="J486" s="183">
        <f t="shared" si="209"/>
        <v>163002.01</v>
      </c>
      <c r="K486" s="183">
        <v>159594.55000000002</v>
      </c>
      <c r="L486" s="183">
        <v>161267.09</v>
      </c>
      <c r="M486" s="183">
        <v>163002</v>
      </c>
      <c r="N486" s="43">
        <f t="shared" si="181"/>
        <v>-1.0000000009313226E-2</v>
      </c>
      <c r="O486" s="183">
        <v>159594.55000000002</v>
      </c>
      <c r="P486" s="183">
        <v>161267.09</v>
      </c>
      <c r="Q486" s="183">
        <v>163002</v>
      </c>
      <c r="R486" s="472">
        <f t="shared" si="201"/>
        <v>4361.9099999999744</v>
      </c>
      <c r="S486" s="472">
        <f t="shared" si="202"/>
        <v>0</v>
      </c>
      <c r="T486" s="472">
        <f t="shared" si="203"/>
        <v>1.0000000009313226E-2</v>
      </c>
      <c r="U486" s="23" t="s">
        <v>647</v>
      </c>
      <c r="V486" s="36" t="s">
        <v>102</v>
      </c>
      <c r="W486" s="37" t="s">
        <v>13</v>
      </c>
      <c r="X486" s="37" t="s">
        <v>69</v>
      </c>
      <c r="Y486" s="37" t="s">
        <v>316</v>
      </c>
      <c r="Z486" s="37" t="s">
        <v>90</v>
      </c>
      <c r="AA486" s="12" t="b">
        <f t="shared" si="187"/>
        <v>1</v>
      </c>
      <c r="AB486" s="12" t="b">
        <f t="shared" si="188"/>
        <v>1</v>
      </c>
      <c r="AC486" s="12" t="b">
        <f t="shared" si="189"/>
        <v>1</v>
      </c>
      <c r="AD486" s="12" t="b">
        <f t="shared" si="190"/>
        <v>1</v>
      </c>
      <c r="AE486" s="12" t="b">
        <f t="shared" si="191"/>
        <v>1</v>
      </c>
      <c r="AF486" s="12" t="b">
        <f t="shared" si="192"/>
        <v>1</v>
      </c>
    </row>
    <row r="487" spans="1:32" s="44" customFormat="1" ht="17.25" customHeight="1">
      <c r="A487" s="285"/>
      <c r="B487" s="23" t="s">
        <v>740</v>
      </c>
      <c r="C487" s="36" t="s">
        <v>102</v>
      </c>
      <c r="D487" s="37" t="s">
        <v>13</v>
      </c>
      <c r="E487" s="37" t="s">
        <v>69</v>
      </c>
      <c r="F487" s="37" t="s">
        <v>317</v>
      </c>
      <c r="G487" s="37" t="s">
        <v>90</v>
      </c>
      <c r="H487" s="183">
        <f>H488+H497+H492</f>
        <v>163956.46</v>
      </c>
      <c r="I487" s="183">
        <f>I488+I497+I492</f>
        <v>161267.09</v>
      </c>
      <c r="J487" s="183">
        <f>J488+J497+J492</f>
        <v>163002.01</v>
      </c>
      <c r="K487" s="183">
        <v>159594.55000000002</v>
      </c>
      <c r="L487" s="183">
        <v>161267.09</v>
      </c>
      <c r="M487" s="183">
        <v>163002</v>
      </c>
      <c r="N487" s="43">
        <f t="shared" si="181"/>
        <v>-1.0000000009313226E-2</v>
      </c>
      <c r="O487" s="183">
        <v>159594.55000000002</v>
      </c>
      <c r="P487" s="183">
        <v>161267.09</v>
      </c>
      <c r="Q487" s="183">
        <v>163002</v>
      </c>
      <c r="R487" s="472">
        <f t="shared" si="201"/>
        <v>4361.9099999999744</v>
      </c>
      <c r="S487" s="472">
        <f t="shared" si="202"/>
        <v>0</v>
      </c>
      <c r="T487" s="472">
        <f t="shared" si="203"/>
        <v>1.0000000009313226E-2</v>
      </c>
      <c r="U487" s="23" t="s">
        <v>740</v>
      </c>
      <c r="V487" s="36" t="s">
        <v>102</v>
      </c>
      <c r="W487" s="37" t="s">
        <v>13</v>
      </c>
      <c r="X487" s="37" t="s">
        <v>69</v>
      </c>
      <c r="Y487" s="37" t="s">
        <v>317</v>
      </c>
      <c r="Z487" s="37" t="s">
        <v>90</v>
      </c>
      <c r="AA487" s="12" t="b">
        <f t="shared" si="187"/>
        <v>1</v>
      </c>
      <c r="AB487" s="12" t="b">
        <f t="shared" si="188"/>
        <v>1</v>
      </c>
      <c r="AC487" s="12" t="b">
        <f t="shared" si="189"/>
        <v>1</v>
      </c>
      <c r="AD487" s="12" t="b">
        <f t="shared" si="190"/>
        <v>1</v>
      </c>
      <c r="AE487" s="12" t="b">
        <f t="shared" si="191"/>
        <v>1</v>
      </c>
      <c r="AF487" s="12" t="b">
        <f t="shared" si="192"/>
        <v>1</v>
      </c>
    </row>
    <row r="488" spans="1:32" s="44" customFormat="1" ht="17.25" customHeight="1">
      <c r="A488" s="285"/>
      <c r="B488" s="23" t="s">
        <v>524</v>
      </c>
      <c r="C488" s="36" t="s">
        <v>102</v>
      </c>
      <c r="D488" s="37" t="s">
        <v>13</v>
      </c>
      <c r="E488" s="37" t="s">
        <v>69</v>
      </c>
      <c r="F488" s="37" t="s">
        <v>318</v>
      </c>
      <c r="G488" s="37" t="s">
        <v>90</v>
      </c>
      <c r="H488" s="183">
        <f>H489</f>
        <v>109754.31</v>
      </c>
      <c r="I488" s="183">
        <f>I489</f>
        <v>107661.89</v>
      </c>
      <c r="J488" s="183">
        <f>J489</f>
        <v>107661.89</v>
      </c>
      <c r="K488" s="183">
        <v>107661.89</v>
      </c>
      <c r="L488" s="183">
        <v>107661.89</v>
      </c>
      <c r="M488" s="183">
        <v>107661.89</v>
      </c>
      <c r="N488" s="43">
        <f t="shared" si="181"/>
        <v>0</v>
      </c>
      <c r="O488" s="183">
        <v>107661.89</v>
      </c>
      <c r="P488" s="183">
        <v>107661.89</v>
      </c>
      <c r="Q488" s="183">
        <v>107661.89</v>
      </c>
      <c r="R488" s="472">
        <f t="shared" si="201"/>
        <v>2092.4199999999983</v>
      </c>
      <c r="S488" s="472">
        <f t="shared" si="202"/>
        <v>0</v>
      </c>
      <c r="T488" s="472">
        <f t="shared" si="203"/>
        <v>0</v>
      </c>
      <c r="U488" s="23" t="s">
        <v>524</v>
      </c>
      <c r="V488" s="36" t="s">
        <v>102</v>
      </c>
      <c r="W488" s="37" t="s">
        <v>13</v>
      </c>
      <c r="X488" s="37" t="s">
        <v>69</v>
      </c>
      <c r="Y488" s="37" t="s">
        <v>318</v>
      </c>
      <c r="Z488" s="37" t="s">
        <v>90</v>
      </c>
      <c r="AA488" s="12" t="b">
        <f t="shared" si="187"/>
        <v>1</v>
      </c>
      <c r="AB488" s="12" t="b">
        <f t="shared" si="188"/>
        <v>1</v>
      </c>
      <c r="AC488" s="12" t="b">
        <f t="shared" si="189"/>
        <v>1</v>
      </c>
      <c r="AD488" s="12" t="b">
        <f t="shared" si="190"/>
        <v>1</v>
      </c>
      <c r="AE488" s="12" t="b">
        <f t="shared" si="191"/>
        <v>1</v>
      </c>
      <c r="AF488" s="12" t="b">
        <f t="shared" si="192"/>
        <v>1</v>
      </c>
    </row>
    <row r="489" spans="1:32" s="44" customFormat="1" ht="15.75" customHeight="1">
      <c r="A489" s="285" t="s">
        <v>799</v>
      </c>
      <c r="B489" s="68" t="s">
        <v>1270</v>
      </c>
      <c r="C489" s="36" t="s">
        <v>102</v>
      </c>
      <c r="D489" s="37" t="s">
        <v>13</v>
      </c>
      <c r="E489" s="37" t="s">
        <v>69</v>
      </c>
      <c r="F489" s="37" t="s">
        <v>343</v>
      </c>
      <c r="G489" s="37" t="s">
        <v>90</v>
      </c>
      <c r="H489" s="183">
        <f>SUM(H490:H491)</f>
        <v>109754.31</v>
      </c>
      <c r="I489" s="183">
        <f>SUM(I490:I491)</f>
        <v>107661.89</v>
      </c>
      <c r="J489" s="183">
        <f>SUM(J490:J491)</f>
        <v>107661.89</v>
      </c>
      <c r="K489" s="183">
        <v>107661.89</v>
      </c>
      <c r="L489" s="183">
        <v>107661.89</v>
      </c>
      <c r="M489" s="183">
        <v>107661.89</v>
      </c>
      <c r="N489" s="43">
        <f t="shared" si="181"/>
        <v>0</v>
      </c>
      <c r="O489" s="183">
        <v>107661.89</v>
      </c>
      <c r="P489" s="183">
        <v>107661.89</v>
      </c>
      <c r="Q489" s="183">
        <v>107661.89</v>
      </c>
      <c r="R489" s="472">
        <f t="shared" si="201"/>
        <v>2092.4199999999983</v>
      </c>
      <c r="S489" s="472">
        <f t="shared" si="202"/>
        <v>0</v>
      </c>
      <c r="T489" s="472">
        <f t="shared" si="203"/>
        <v>0</v>
      </c>
      <c r="U489" s="23" t="s">
        <v>859</v>
      </c>
      <c r="V489" s="36" t="s">
        <v>102</v>
      </c>
      <c r="W489" s="37" t="s">
        <v>13</v>
      </c>
      <c r="X489" s="37" t="s">
        <v>69</v>
      </c>
      <c r="Y489" s="37" t="s">
        <v>343</v>
      </c>
      <c r="Z489" s="37" t="s">
        <v>90</v>
      </c>
      <c r="AA489" s="12" t="b">
        <f t="shared" si="187"/>
        <v>0</v>
      </c>
      <c r="AB489" s="12" t="b">
        <f t="shared" si="188"/>
        <v>1</v>
      </c>
      <c r="AC489" s="12" t="b">
        <f t="shared" si="189"/>
        <v>1</v>
      </c>
      <c r="AD489" s="12" t="b">
        <f t="shared" si="190"/>
        <v>1</v>
      </c>
      <c r="AE489" s="12" t="b">
        <f t="shared" si="191"/>
        <v>1</v>
      </c>
      <c r="AF489" s="12" t="b">
        <f t="shared" si="192"/>
        <v>1</v>
      </c>
    </row>
    <row r="490" spans="1:32" s="44" customFormat="1" ht="15.75" customHeight="1">
      <c r="A490" s="285"/>
      <c r="B490" s="182" t="s">
        <v>145</v>
      </c>
      <c r="C490" s="36" t="s">
        <v>102</v>
      </c>
      <c r="D490" s="37" t="s">
        <v>13</v>
      </c>
      <c r="E490" s="37" t="s">
        <v>69</v>
      </c>
      <c r="F490" s="37" t="s">
        <v>343</v>
      </c>
      <c r="G490" s="37" t="s">
        <v>153</v>
      </c>
      <c r="H490" s="183">
        <f>1591.06+31.39</f>
        <v>1622.45</v>
      </c>
      <c r="I490" s="183">
        <v>1591.06</v>
      </c>
      <c r="J490" s="183">
        <v>1591.06</v>
      </c>
      <c r="K490" s="183">
        <v>1591.06</v>
      </c>
      <c r="L490" s="183">
        <v>1591.06</v>
      </c>
      <c r="M490" s="183">
        <v>1591.06</v>
      </c>
      <c r="N490" s="43">
        <f t="shared" si="181"/>
        <v>0</v>
      </c>
      <c r="O490" s="183">
        <v>1591.06</v>
      </c>
      <c r="P490" s="183">
        <v>1591.06</v>
      </c>
      <c r="Q490" s="183">
        <v>1591.06</v>
      </c>
      <c r="R490" s="472">
        <f t="shared" si="201"/>
        <v>31.3900000000001</v>
      </c>
      <c r="S490" s="472">
        <f t="shared" si="202"/>
        <v>0</v>
      </c>
      <c r="T490" s="472">
        <f t="shared" si="203"/>
        <v>0</v>
      </c>
      <c r="U490" s="182" t="s">
        <v>145</v>
      </c>
      <c r="V490" s="36" t="s">
        <v>102</v>
      </c>
      <c r="W490" s="37" t="s">
        <v>13</v>
      </c>
      <c r="X490" s="37" t="s">
        <v>69</v>
      </c>
      <c r="Y490" s="37" t="s">
        <v>343</v>
      </c>
      <c r="Z490" s="37" t="s">
        <v>153</v>
      </c>
      <c r="AA490" s="12" t="b">
        <f t="shared" si="187"/>
        <v>1</v>
      </c>
      <c r="AB490" s="12" t="b">
        <f t="shared" si="188"/>
        <v>1</v>
      </c>
      <c r="AC490" s="12" t="b">
        <f t="shared" si="189"/>
        <v>1</v>
      </c>
      <c r="AD490" s="12" t="b">
        <f t="shared" si="190"/>
        <v>1</v>
      </c>
      <c r="AE490" s="12" t="b">
        <f t="shared" si="191"/>
        <v>1</v>
      </c>
      <c r="AF490" s="12" t="b">
        <f t="shared" si="192"/>
        <v>1</v>
      </c>
    </row>
    <row r="491" spans="1:32" s="44" customFormat="1" ht="15.75" customHeight="1">
      <c r="A491" s="285"/>
      <c r="B491" s="23" t="s">
        <v>147</v>
      </c>
      <c r="C491" s="36" t="s">
        <v>102</v>
      </c>
      <c r="D491" s="37" t="s">
        <v>13</v>
      </c>
      <c r="E491" s="37" t="s">
        <v>69</v>
      </c>
      <c r="F491" s="37" t="s">
        <v>343</v>
      </c>
      <c r="G491" s="37" t="s">
        <v>154</v>
      </c>
      <c r="H491" s="183">
        <f>106070.83+2061.03</f>
        <v>108131.86</v>
      </c>
      <c r="I491" s="183">
        <f t="shared" ref="I491:J491" si="210">106070.83</f>
        <v>106070.83</v>
      </c>
      <c r="J491" s="183">
        <f t="shared" si="210"/>
        <v>106070.83</v>
      </c>
      <c r="K491" s="183">
        <v>106070.83</v>
      </c>
      <c r="L491" s="183">
        <v>106070.83</v>
      </c>
      <c r="M491" s="183">
        <v>106070.83</v>
      </c>
      <c r="N491" s="43">
        <f t="shared" si="181"/>
        <v>0</v>
      </c>
      <c r="O491" s="183">
        <v>106070.83</v>
      </c>
      <c r="P491" s="183">
        <v>106070.83</v>
      </c>
      <c r="Q491" s="183">
        <v>106070.83</v>
      </c>
      <c r="R491" s="472">
        <f t="shared" si="201"/>
        <v>2061.0299999999988</v>
      </c>
      <c r="S491" s="472">
        <f t="shared" si="202"/>
        <v>0</v>
      </c>
      <c r="T491" s="472">
        <f t="shared" si="203"/>
        <v>0</v>
      </c>
      <c r="U491" s="23" t="s">
        <v>147</v>
      </c>
      <c r="V491" s="36" t="s">
        <v>102</v>
      </c>
      <c r="W491" s="37" t="s">
        <v>13</v>
      </c>
      <c r="X491" s="37" t="s">
        <v>69</v>
      </c>
      <c r="Y491" s="37" t="s">
        <v>343</v>
      </c>
      <c r="Z491" s="37" t="s">
        <v>154</v>
      </c>
      <c r="AA491" s="12" t="b">
        <f t="shared" si="187"/>
        <v>1</v>
      </c>
      <c r="AB491" s="12" t="b">
        <f t="shared" si="188"/>
        <v>1</v>
      </c>
      <c r="AC491" s="12" t="b">
        <f t="shared" si="189"/>
        <v>1</v>
      </c>
      <c r="AD491" s="12" t="b">
        <f t="shared" si="190"/>
        <v>1</v>
      </c>
      <c r="AE491" s="12" t="b">
        <f t="shared" si="191"/>
        <v>1</v>
      </c>
      <c r="AF491" s="12" t="b">
        <f t="shared" si="192"/>
        <v>1</v>
      </c>
    </row>
    <row r="492" spans="1:32" s="44" customFormat="1" ht="15.75" customHeight="1">
      <c r="A492" s="285"/>
      <c r="B492" s="180" t="s">
        <v>568</v>
      </c>
      <c r="C492" s="36" t="s">
        <v>102</v>
      </c>
      <c r="D492" s="37" t="s">
        <v>13</v>
      </c>
      <c r="E492" s="37" t="s">
        <v>69</v>
      </c>
      <c r="F492" s="37" t="s">
        <v>331</v>
      </c>
      <c r="G492" s="37" t="s">
        <v>90</v>
      </c>
      <c r="H492" s="183">
        <f>H493+H495</f>
        <v>2677.23</v>
      </c>
      <c r="I492" s="183">
        <f>I493+I495</f>
        <v>2677.23</v>
      </c>
      <c r="J492" s="183">
        <f>J493+J495</f>
        <v>2677.23</v>
      </c>
      <c r="K492" s="183">
        <v>2677.23</v>
      </c>
      <c r="L492" s="183">
        <v>2677.23</v>
      </c>
      <c r="M492" s="183">
        <v>2677.23</v>
      </c>
      <c r="N492" s="43">
        <f t="shared" si="181"/>
        <v>0</v>
      </c>
      <c r="O492" s="183">
        <v>2677.23</v>
      </c>
      <c r="P492" s="183">
        <v>2677.23</v>
      </c>
      <c r="Q492" s="183">
        <v>2677.23</v>
      </c>
      <c r="R492" s="472">
        <f t="shared" si="201"/>
        <v>0</v>
      </c>
      <c r="S492" s="472">
        <f t="shared" si="202"/>
        <v>0</v>
      </c>
      <c r="T492" s="472">
        <f t="shared" si="203"/>
        <v>0</v>
      </c>
      <c r="U492" s="180" t="s">
        <v>568</v>
      </c>
      <c r="V492" s="36" t="s">
        <v>102</v>
      </c>
      <c r="W492" s="37" t="s">
        <v>13</v>
      </c>
      <c r="X492" s="37" t="s">
        <v>69</v>
      </c>
      <c r="Y492" s="37" t="s">
        <v>331</v>
      </c>
      <c r="Z492" s="37" t="s">
        <v>90</v>
      </c>
      <c r="AA492" s="12" t="b">
        <f t="shared" si="187"/>
        <v>1</v>
      </c>
      <c r="AB492" s="12" t="b">
        <f t="shared" si="188"/>
        <v>1</v>
      </c>
      <c r="AC492" s="12" t="b">
        <f t="shared" si="189"/>
        <v>1</v>
      </c>
      <c r="AD492" s="12" t="b">
        <f t="shared" si="190"/>
        <v>1</v>
      </c>
      <c r="AE492" s="12" t="b">
        <f t="shared" si="191"/>
        <v>1</v>
      </c>
      <c r="AF492" s="12" t="b">
        <f t="shared" si="192"/>
        <v>1</v>
      </c>
    </row>
    <row r="493" spans="1:32" s="44" customFormat="1" ht="15.75" customHeight="1">
      <c r="A493" s="285"/>
      <c r="B493" s="180" t="s">
        <v>831</v>
      </c>
      <c r="C493" s="36" t="s">
        <v>102</v>
      </c>
      <c r="D493" s="37" t="s">
        <v>13</v>
      </c>
      <c r="E493" s="37" t="s">
        <v>69</v>
      </c>
      <c r="F493" s="37" t="s">
        <v>820</v>
      </c>
      <c r="G493" s="37" t="s">
        <v>90</v>
      </c>
      <c r="H493" s="183">
        <f>H494</f>
        <v>1577.77</v>
      </c>
      <c r="I493" s="183">
        <f t="shared" ref="I493:J493" si="211">I494</f>
        <v>1577.77</v>
      </c>
      <c r="J493" s="183">
        <f t="shared" si="211"/>
        <v>1577.77</v>
      </c>
      <c r="K493" s="183">
        <v>1577.77</v>
      </c>
      <c r="L493" s="183">
        <v>1577.77</v>
      </c>
      <c r="M493" s="183">
        <v>1577.77</v>
      </c>
      <c r="N493" s="43">
        <f t="shared" si="181"/>
        <v>0</v>
      </c>
      <c r="O493" s="183">
        <v>1577.77</v>
      </c>
      <c r="P493" s="183">
        <v>1577.77</v>
      </c>
      <c r="Q493" s="183">
        <v>1577.77</v>
      </c>
      <c r="R493" s="472">
        <f t="shared" ref="R493:R524" si="212">H493-O493</f>
        <v>0</v>
      </c>
      <c r="S493" s="472">
        <f t="shared" ref="S493:S524" si="213">I493-P493</f>
        <v>0</v>
      </c>
      <c r="T493" s="472">
        <f t="shared" ref="T493:T524" si="214">J493-Q493</f>
        <v>0</v>
      </c>
      <c r="U493" s="180" t="s">
        <v>831</v>
      </c>
      <c r="V493" s="36" t="s">
        <v>102</v>
      </c>
      <c r="W493" s="37" t="s">
        <v>13</v>
      </c>
      <c r="X493" s="37" t="s">
        <v>69</v>
      </c>
      <c r="Y493" s="37" t="s">
        <v>820</v>
      </c>
      <c r="Z493" s="37" t="s">
        <v>90</v>
      </c>
      <c r="AA493" s="12" t="b">
        <f t="shared" si="187"/>
        <v>1</v>
      </c>
      <c r="AB493" s="12" t="b">
        <f t="shared" si="188"/>
        <v>1</v>
      </c>
      <c r="AC493" s="12" t="b">
        <f t="shared" si="189"/>
        <v>1</v>
      </c>
      <c r="AD493" s="12" t="b">
        <f t="shared" si="190"/>
        <v>1</v>
      </c>
      <c r="AE493" s="12" t="b">
        <f t="shared" si="191"/>
        <v>1</v>
      </c>
      <c r="AF493" s="12" t="b">
        <f t="shared" si="192"/>
        <v>1</v>
      </c>
    </row>
    <row r="494" spans="1:32" s="44" customFormat="1" ht="15.75" customHeight="1">
      <c r="A494" s="285"/>
      <c r="B494" s="23" t="s">
        <v>147</v>
      </c>
      <c r="C494" s="36" t="s">
        <v>102</v>
      </c>
      <c r="D494" s="37" t="s">
        <v>13</v>
      </c>
      <c r="E494" s="37" t="s">
        <v>69</v>
      </c>
      <c r="F494" s="37" t="s">
        <v>820</v>
      </c>
      <c r="G494" s="37" t="s">
        <v>154</v>
      </c>
      <c r="H494" s="183">
        <v>1577.77</v>
      </c>
      <c r="I494" s="183">
        <v>1577.77</v>
      </c>
      <c r="J494" s="183">
        <v>1577.77</v>
      </c>
      <c r="K494" s="183">
        <v>1577.77</v>
      </c>
      <c r="L494" s="183">
        <v>1577.77</v>
      </c>
      <c r="M494" s="183">
        <v>1577.77</v>
      </c>
      <c r="N494" s="43">
        <f t="shared" si="181"/>
        <v>0</v>
      </c>
      <c r="O494" s="183">
        <v>1577.77</v>
      </c>
      <c r="P494" s="183">
        <v>1577.77</v>
      </c>
      <c r="Q494" s="183">
        <v>1577.77</v>
      </c>
      <c r="R494" s="472">
        <f t="shared" si="212"/>
        <v>0</v>
      </c>
      <c r="S494" s="472">
        <f t="shared" si="213"/>
        <v>0</v>
      </c>
      <c r="T494" s="472">
        <f t="shared" si="214"/>
        <v>0</v>
      </c>
      <c r="U494" s="23" t="s">
        <v>147</v>
      </c>
      <c r="V494" s="36" t="s">
        <v>102</v>
      </c>
      <c r="W494" s="37" t="s">
        <v>13</v>
      </c>
      <c r="X494" s="37" t="s">
        <v>69</v>
      </c>
      <c r="Y494" s="37" t="s">
        <v>820</v>
      </c>
      <c r="Z494" s="37" t="s">
        <v>154</v>
      </c>
      <c r="AA494" s="12" t="b">
        <f t="shared" si="187"/>
        <v>1</v>
      </c>
      <c r="AB494" s="12" t="b">
        <f t="shared" si="188"/>
        <v>1</v>
      </c>
      <c r="AC494" s="12" t="b">
        <f t="shared" si="189"/>
        <v>1</v>
      </c>
      <c r="AD494" s="12" t="b">
        <f t="shared" si="190"/>
        <v>1</v>
      </c>
      <c r="AE494" s="12" t="b">
        <f t="shared" si="191"/>
        <v>1</v>
      </c>
      <c r="AF494" s="12" t="b">
        <f t="shared" si="192"/>
        <v>1</v>
      </c>
    </row>
    <row r="495" spans="1:32" s="44" customFormat="1" ht="15.75" customHeight="1">
      <c r="A495" s="285"/>
      <c r="B495" s="23" t="s">
        <v>1002</v>
      </c>
      <c r="C495" s="36" t="s">
        <v>102</v>
      </c>
      <c r="D495" s="37" t="s">
        <v>13</v>
      </c>
      <c r="E495" s="37" t="s">
        <v>69</v>
      </c>
      <c r="F495" s="37" t="s">
        <v>976</v>
      </c>
      <c r="G495" s="37" t="s">
        <v>90</v>
      </c>
      <c r="H495" s="183">
        <f>H496</f>
        <v>1099.46</v>
      </c>
      <c r="I495" s="183">
        <f t="shared" ref="I495:J495" si="215">I496</f>
        <v>1099.46</v>
      </c>
      <c r="J495" s="183">
        <f t="shared" si="215"/>
        <v>1099.46</v>
      </c>
      <c r="K495" s="183">
        <v>1099.46</v>
      </c>
      <c r="L495" s="183">
        <v>1099.46</v>
      </c>
      <c r="M495" s="183">
        <v>1099.46</v>
      </c>
      <c r="N495" s="43">
        <f t="shared" si="181"/>
        <v>0</v>
      </c>
      <c r="O495" s="183">
        <v>1099.46</v>
      </c>
      <c r="P495" s="183">
        <v>1099.46</v>
      </c>
      <c r="Q495" s="183">
        <v>1099.46</v>
      </c>
      <c r="R495" s="472">
        <f t="shared" si="212"/>
        <v>0</v>
      </c>
      <c r="S495" s="472">
        <f t="shared" si="213"/>
        <v>0</v>
      </c>
      <c r="T495" s="472">
        <f t="shared" si="214"/>
        <v>0</v>
      </c>
      <c r="U495" s="23" t="s">
        <v>1002</v>
      </c>
      <c r="V495" s="36" t="s">
        <v>102</v>
      </c>
      <c r="W495" s="37" t="s">
        <v>13</v>
      </c>
      <c r="X495" s="37" t="s">
        <v>69</v>
      </c>
      <c r="Y495" s="37" t="s">
        <v>976</v>
      </c>
      <c r="Z495" s="37" t="s">
        <v>90</v>
      </c>
      <c r="AA495" s="12" t="b">
        <f t="shared" si="187"/>
        <v>1</v>
      </c>
      <c r="AB495" s="12" t="b">
        <f t="shared" si="188"/>
        <v>1</v>
      </c>
      <c r="AC495" s="12" t="b">
        <f t="shared" si="189"/>
        <v>1</v>
      </c>
      <c r="AD495" s="12" t="b">
        <f t="shared" si="190"/>
        <v>1</v>
      </c>
      <c r="AE495" s="12" t="b">
        <f t="shared" si="191"/>
        <v>1</v>
      </c>
      <c r="AF495" s="12" t="b">
        <f t="shared" si="192"/>
        <v>1</v>
      </c>
    </row>
    <row r="496" spans="1:32" s="44" customFormat="1" ht="15.75" customHeight="1">
      <c r="A496" s="285"/>
      <c r="B496" s="23" t="s">
        <v>147</v>
      </c>
      <c r="C496" s="36" t="s">
        <v>102</v>
      </c>
      <c r="D496" s="37" t="s">
        <v>13</v>
      </c>
      <c r="E496" s="37" t="s">
        <v>69</v>
      </c>
      <c r="F496" s="37" t="s">
        <v>976</v>
      </c>
      <c r="G496" s="37" t="s">
        <v>154</v>
      </c>
      <c r="H496" s="183">
        <v>1099.46</v>
      </c>
      <c r="I496" s="183">
        <v>1099.46</v>
      </c>
      <c r="J496" s="183">
        <v>1099.46</v>
      </c>
      <c r="K496" s="183">
        <v>1099.46</v>
      </c>
      <c r="L496" s="183">
        <v>1099.46</v>
      </c>
      <c r="M496" s="183">
        <v>1099.46</v>
      </c>
      <c r="N496" s="43">
        <f t="shared" si="181"/>
        <v>0</v>
      </c>
      <c r="O496" s="183">
        <v>1099.46</v>
      </c>
      <c r="P496" s="183">
        <v>1099.46</v>
      </c>
      <c r="Q496" s="183">
        <v>1099.46</v>
      </c>
      <c r="R496" s="472">
        <f t="shared" si="212"/>
        <v>0</v>
      </c>
      <c r="S496" s="472">
        <f t="shared" si="213"/>
        <v>0</v>
      </c>
      <c r="T496" s="472">
        <f t="shared" si="214"/>
        <v>0</v>
      </c>
      <c r="U496" s="23" t="s">
        <v>147</v>
      </c>
      <c r="V496" s="36" t="s">
        <v>102</v>
      </c>
      <c r="W496" s="37" t="s">
        <v>13</v>
      </c>
      <c r="X496" s="37" t="s">
        <v>69</v>
      </c>
      <c r="Y496" s="37" t="s">
        <v>976</v>
      </c>
      <c r="Z496" s="37" t="s">
        <v>154</v>
      </c>
      <c r="AA496" s="12" t="b">
        <f t="shared" si="187"/>
        <v>1</v>
      </c>
      <c r="AB496" s="12" t="b">
        <f t="shared" si="188"/>
        <v>1</v>
      </c>
      <c r="AC496" s="12" t="b">
        <f t="shared" si="189"/>
        <v>1</v>
      </c>
      <c r="AD496" s="12" t="b">
        <f t="shared" si="190"/>
        <v>1</v>
      </c>
      <c r="AE496" s="12" t="b">
        <f t="shared" si="191"/>
        <v>1</v>
      </c>
      <c r="AF496" s="12" t="b">
        <f t="shared" si="192"/>
        <v>1</v>
      </c>
    </row>
    <row r="497" spans="1:32" s="44" customFormat="1" ht="15.75" customHeight="1">
      <c r="A497" s="285"/>
      <c r="B497" s="23" t="s">
        <v>515</v>
      </c>
      <c r="C497" s="36" t="s">
        <v>102</v>
      </c>
      <c r="D497" s="37" t="s">
        <v>13</v>
      </c>
      <c r="E497" s="37" t="s">
        <v>69</v>
      </c>
      <c r="F497" s="37" t="s">
        <v>344</v>
      </c>
      <c r="G497" s="37" t="s">
        <v>90</v>
      </c>
      <c r="H497" s="183">
        <f>H498+H500+H502+H504</f>
        <v>51524.92</v>
      </c>
      <c r="I497" s="183">
        <f>I498+I500+I502+I504</f>
        <v>50927.97</v>
      </c>
      <c r="J497" s="183">
        <f>J498+J500+J502+J504</f>
        <v>52662.89</v>
      </c>
      <c r="K497" s="183">
        <v>49255.43</v>
      </c>
      <c r="L497" s="183">
        <v>50927.97</v>
      </c>
      <c r="M497" s="183">
        <v>52662.879999999997</v>
      </c>
      <c r="N497" s="43">
        <f t="shared" si="181"/>
        <v>-1.0000000002037268E-2</v>
      </c>
      <c r="O497" s="183">
        <v>49255.43</v>
      </c>
      <c r="P497" s="183">
        <v>50927.97</v>
      </c>
      <c r="Q497" s="183">
        <v>52662.879999999997</v>
      </c>
      <c r="R497" s="472">
        <f t="shared" si="212"/>
        <v>2269.489999999998</v>
      </c>
      <c r="S497" s="472">
        <f t="shared" si="213"/>
        <v>0</v>
      </c>
      <c r="T497" s="472">
        <f t="shared" si="214"/>
        <v>1.0000000002037268E-2</v>
      </c>
      <c r="U497" s="23" t="s">
        <v>515</v>
      </c>
      <c r="V497" s="36" t="s">
        <v>102</v>
      </c>
      <c r="W497" s="37" t="s">
        <v>13</v>
      </c>
      <c r="X497" s="37" t="s">
        <v>69</v>
      </c>
      <c r="Y497" s="37" t="s">
        <v>344</v>
      </c>
      <c r="Z497" s="37" t="s">
        <v>90</v>
      </c>
      <c r="AA497" s="12" t="b">
        <f t="shared" si="187"/>
        <v>1</v>
      </c>
      <c r="AB497" s="12" t="b">
        <f t="shared" si="188"/>
        <v>1</v>
      </c>
      <c r="AC497" s="12" t="b">
        <f t="shared" si="189"/>
        <v>1</v>
      </c>
      <c r="AD497" s="12" t="b">
        <f t="shared" si="190"/>
        <v>1</v>
      </c>
      <c r="AE497" s="12" t="b">
        <f t="shared" si="191"/>
        <v>1</v>
      </c>
      <c r="AF497" s="12" t="b">
        <f t="shared" si="192"/>
        <v>1</v>
      </c>
    </row>
    <row r="498" spans="1:32" s="44" customFormat="1" ht="15.75" customHeight="1">
      <c r="A498" s="285" t="s">
        <v>799</v>
      </c>
      <c r="B498" s="180" t="s">
        <v>842</v>
      </c>
      <c r="C498" s="36" t="s">
        <v>102</v>
      </c>
      <c r="D498" s="37" t="s">
        <v>13</v>
      </c>
      <c r="E498" s="37" t="s">
        <v>69</v>
      </c>
      <c r="F498" s="37" t="s">
        <v>689</v>
      </c>
      <c r="G498" s="37" t="s">
        <v>90</v>
      </c>
      <c r="H498" s="183">
        <f>H499</f>
        <v>24644.57</v>
      </c>
      <c r="I498" s="183">
        <f>I499</f>
        <v>23270.080000000002</v>
      </c>
      <c r="J498" s="183">
        <f>J499</f>
        <v>23968.199999999997</v>
      </c>
      <c r="K498" s="183">
        <v>22375.08</v>
      </c>
      <c r="L498" s="183">
        <v>23270.080000000002</v>
      </c>
      <c r="M498" s="183">
        <v>23968.19</v>
      </c>
      <c r="N498" s="43">
        <f t="shared" si="181"/>
        <v>-9.9999999983992893E-3</v>
      </c>
      <c r="O498" s="183">
        <v>22375.08</v>
      </c>
      <c r="P498" s="183">
        <v>23270.080000000002</v>
      </c>
      <c r="Q498" s="183">
        <v>23968.19</v>
      </c>
      <c r="R498" s="472">
        <f t="shared" si="212"/>
        <v>2269.489999999998</v>
      </c>
      <c r="S498" s="472">
        <f t="shared" si="213"/>
        <v>0</v>
      </c>
      <c r="T498" s="472">
        <f t="shared" si="214"/>
        <v>9.9999999983992893E-3</v>
      </c>
      <c r="U498" s="180" t="s">
        <v>842</v>
      </c>
      <c r="V498" s="36" t="s">
        <v>102</v>
      </c>
      <c r="W498" s="37" t="s">
        <v>13</v>
      </c>
      <c r="X498" s="37" t="s">
        <v>69</v>
      </c>
      <c r="Y498" s="37" t="s">
        <v>689</v>
      </c>
      <c r="Z498" s="37" t="s">
        <v>90</v>
      </c>
      <c r="AA498" s="12" t="b">
        <f t="shared" si="187"/>
        <v>1</v>
      </c>
      <c r="AB498" s="12" t="b">
        <f t="shared" si="188"/>
        <v>1</v>
      </c>
      <c r="AC498" s="12" t="b">
        <f t="shared" si="189"/>
        <v>1</v>
      </c>
      <c r="AD498" s="12" t="b">
        <f t="shared" si="190"/>
        <v>1</v>
      </c>
      <c r="AE498" s="12" t="b">
        <f t="shared" si="191"/>
        <v>1</v>
      </c>
      <c r="AF498" s="12" t="b">
        <f t="shared" si="192"/>
        <v>1</v>
      </c>
    </row>
    <row r="499" spans="1:32" s="44" customFormat="1" ht="15.75" customHeight="1">
      <c r="A499" s="285"/>
      <c r="B499" s="65" t="s">
        <v>147</v>
      </c>
      <c r="C499" s="56" t="s">
        <v>102</v>
      </c>
      <c r="D499" s="57" t="s">
        <v>13</v>
      </c>
      <c r="E499" s="57" t="s">
        <v>69</v>
      </c>
      <c r="F499" s="57" t="s">
        <v>689</v>
      </c>
      <c r="G499" s="57" t="s">
        <v>154</v>
      </c>
      <c r="H499" s="58">
        <f>22375.08+2269.49</f>
        <v>24644.57</v>
      </c>
      <c r="I499" s="58">
        <v>23270.080000000002</v>
      </c>
      <c r="J499" s="58">
        <f>23968.19+0.01</f>
        <v>23968.199999999997</v>
      </c>
      <c r="K499" s="58">
        <v>22375.08</v>
      </c>
      <c r="L499" s="58">
        <v>23270.080000000002</v>
      </c>
      <c r="M499" s="58">
        <v>23968.19</v>
      </c>
      <c r="N499" s="43">
        <f t="shared" si="181"/>
        <v>-9.9999999983992893E-3</v>
      </c>
      <c r="O499" s="58">
        <v>22375.08</v>
      </c>
      <c r="P499" s="58">
        <v>23270.080000000002</v>
      </c>
      <c r="Q499" s="58">
        <v>23968.19</v>
      </c>
      <c r="R499" s="472">
        <f t="shared" si="212"/>
        <v>2269.489999999998</v>
      </c>
      <c r="S499" s="472">
        <f t="shared" si="213"/>
        <v>0</v>
      </c>
      <c r="T499" s="472">
        <f t="shared" si="214"/>
        <v>9.9999999983992893E-3</v>
      </c>
      <c r="U499" s="65" t="s">
        <v>147</v>
      </c>
      <c r="V499" s="56" t="s">
        <v>102</v>
      </c>
      <c r="W499" s="57" t="s">
        <v>13</v>
      </c>
      <c r="X499" s="57" t="s">
        <v>69</v>
      </c>
      <c r="Y499" s="57" t="s">
        <v>689</v>
      </c>
      <c r="Z499" s="57" t="s">
        <v>154</v>
      </c>
      <c r="AA499" s="12" t="b">
        <f t="shared" si="187"/>
        <v>1</v>
      </c>
      <c r="AB499" s="12" t="b">
        <f t="shared" si="188"/>
        <v>1</v>
      </c>
      <c r="AC499" s="12" t="b">
        <f t="shared" si="189"/>
        <v>1</v>
      </c>
      <c r="AD499" s="12" t="b">
        <f t="shared" si="190"/>
        <v>1</v>
      </c>
      <c r="AE499" s="12" t="b">
        <f t="shared" si="191"/>
        <v>1</v>
      </c>
      <c r="AF499" s="12" t="b">
        <f t="shared" si="192"/>
        <v>1</v>
      </c>
    </row>
    <row r="500" spans="1:32" s="44" customFormat="1" ht="15.75" customHeight="1">
      <c r="A500" s="285" t="s">
        <v>799</v>
      </c>
      <c r="B500" s="23" t="s">
        <v>1061</v>
      </c>
      <c r="C500" s="36" t="s">
        <v>102</v>
      </c>
      <c r="D500" s="37" t="s">
        <v>13</v>
      </c>
      <c r="E500" s="37" t="s">
        <v>69</v>
      </c>
      <c r="F500" s="37" t="s">
        <v>690</v>
      </c>
      <c r="G500" s="37" t="s">
        <v>90</v>
      </c>
      <c r="H500" s="183">
        <f>H501</f>
        <v>1921.8</v>
      </c>
      <c r="I500" s="183">
        <f>I501</f>
        <v>1921.8</v>
      </c>
      <c r="J500" s="183">
        <f>J501</f>
        <v>1921.8</v>
      </c>
      <c r="K500" s="183">
        <v>1921.8</v>
      </c>
      <c r="L500" s="183">
        <v>1921.8</v>
      </c>
      <c r="M500" s="183">
        <v>1921.8</v>
      </c>
      <c r="N500" s="43">
        <f t="shared" si="181"/>
        <v>0</v>
      </c>
      <c r="O500" s="183">
        <v>1921.8</v>
      </c>
      <c r="P500" s="183">
        <v>1921.8</v>
      </c>
      <c r="Q500" s="183">
        <v>1921.8</v>
      </c>
      <c r="R500" s="472">
        <f t="shared" si="212"/>
        <v>0</v>
      </c>
      <c r="S500" s="472">
        <f t="shared" si="213"/>
        <v>0</v>
      </c>
      <c r="T500" s="472">
        <f t="shared" si="214"/>
        <v>0</v>
      </c>
      <c r="U500" s="23" t="s">
        <v>1061</v>
      </c>
      <c r="V500" s="36" t="s">
        <v>102</v>
      </c>
      <c r="W500" s="37" t="s">
        <v>13</v>
      </c>
      <c r="X500" s="37" t="s">
        <v>69</v>
      </c>
      <c r="Y500" s="37" t="s">
        <v>690</v>
      </c>
      <c r="Z500" s="37" t="s">
        <v>90</v>
      </c>
      <c r="AA500" s="12" t="b">
        <f t="shared" si="187"/>
        <v>1</v>
      </c>
      <c r="AB500" s="12" t="b">
        <f t="shared" si="188"/>
        <v>1</v>
      </c>
      <c r="AC500" s="12" t="b">
        <f t="shared" si="189"/>
        <v>1</v>
      </c>
      <c r="AD500" s="12" t="b">
        <f t="shared" si="190"/>
        <v>1</v>
      </c>
      <c r="AE500" s="12" t="b">
        <f t="shared" si="191"/>
        <v>1</v>
      </c>
      <c r="AF500" s="12" t="b">
        <f t="shared" si="192"/>
        <v>1</v>
      </c>
    </row>
    <row r="501" spans="1:32" s="44" customFormat="1" ht="15.75" customHeight="1">
      <c r="A501" s="285"/>
      <c r="B501" s="23" t="s">
        <v>147</v>
      </c>
      <c r="C501" s="36" t="s">
        <v>102</v>
      </c>
      <c r="D501" s="37" t="s">
        <v>13</v>
      </c>
      <c r="E501" s="37" t="s">
        <v>69</v>
      </c>
      <c r="F501" s="37" t="s">
        <v>690</v>
      </c>
      <c r="G501" s="37" t="s">
        <v>154</v>
      </c>
      <c r="H501" s="183">
        <v>1921.8</v>
      </c>
      <c r="I501" s="183">
        <v>1921.8</v>
      </c>
      <c r="J501" s="183">
        <v>1921.8</v>
      </c>
      <c r="K501" s="183">
        <v>1921.8</v>
      </c>
      <c r="L501" s="183">
        <v>1921.8</v>
      </c>
      <c r="M501" s="183">
        <v>1921.8</v>
      </c>
      <c r="N501" s="43">
        <f t="shared" si="181"/>
        <v>0</v>
      </c>
      <c r="O501" s="183">
        <v>1921.8</v>
      </c>
      <c r="P501" s="183">
        <v>1921.8</v>
      </c>
      <c r="Q501" s="183">
        <v>1921.8</v>
      </c>
      <c r="R501" s="472">
        <f t="shared" si="212"/>
        <v>0</v>
      </c>
      <c r="S501" s="472">
        <f t="shared" si="213"/>
        <v>0</v>
      </c>
      <c r="T501" s="472">
        <f t="shared" si="214"/>
        <v>0</v>
      </c>
      <c r="U501" s="23" t="s">
        <v>147</v>
      </c>
      <c r="V501" s="36" t="s">
        <v>102</v>
      </c>
      <c r="W501" s="37" t="s">
        <v>13</v>
      </c>
      <c r="X501" s="37" t="s">
        <v>69</v>
      </c>
      <c r="Y501" s="37" t="s">
        <v>690</v>
      </c>
      <c r="Z501" s="37" t="s">
        <v>154</v>
      </c>
      <c r="AA501" s="12" t="b">
        <f t="shared" si="187"/>
        <v>1</v>
      </c>
      <c r="AB501" s="12" t="b">
        <f t="shared" si="188"/>
        <v>1</v>
      </c>
      <c r="AC501" s="12" t="b">
        <f t="shared" si="189"/>
        <v>1</v>
      </c>
      <c r="AD501" s="12" t="b">
        <f t="shared" si="190"/>
        <v>1</v>
      </c>
      <c r="AE501" s="12" t="b">
        <f t="shared" si="191"/>
        <v>1</v>
      </c>
      <c r="AF501" s="12" t="b">
        <f t="shared" si="192"/>
        <v>1</v>
      </c>
    </row>
    <row r="502" spans="1:32" s="44" customFormat="1" ht="15.75" customHeight="1">
      <c r="A502" s="285" t="s">
        <v>799</v>
      </c>
      <c r="B502" s="23" t="s">
        <v>843</v>
      </c>
      <c r="C502" s="36" t="s">
        <v>102</v>
      </c>
      <c r="D502" s="37" t="s">
        <v>13</v>
      </c>
      <c r="E502" s="37" t="s">
        <v>69</v>
      </c>
      <c r="F502" s="37" t="s">
        <v>691</v>
      </c>
      <c r="G502" s="37" t="s">
        <v>90</v>
      </c>
      <c r="H502" s="183">
        <f>H503</f>
        <v>22108.55</v>
      </c>
      <c r="I502" s="183">
        <f>I503</f>
        <v>22886.09</v>
      </c>
      <c r="J502" s="183">
        <f>J503</f>
        <v>23922.89</v>
      </c>
      <c r="K502" s="183">
        <v>22108.55</v>
      </c>
      <c r="L502" s="183">
        <v>22886.09</v>
      </c>
      <c r="M502" s="183">
        <v>23922.89</v>
      </c>
      <c r="N502" s="43">
        <f t="shared" ref="N502:N505" si="216">M502-J502</f>
        <v>0</v>
      </c>
      <c r="O502" s="183">
        <v>22108.55</v>
      </c>
      <c r="P502" s="183">
        <v>22886.09</v>
      </c>
      <c r="Q502" s="183">
        <v>23922.89</v>
      </c>
      <c r="R502" s="472">
        <f t="shared" si="212"/>
        <v>0</v>
      </c>
      <c r="S502" s="472">
        <f t="shared" si="213"/>
        <v>0</v>
      </c>
      <c r="T502" s="472">
        <f t="shared" si="214"/>
        <v>0</v>
      </c>
      <c r="U502" s="23" t="s">
        <v>843</v>
      </c>
      <c r="V502" s="36" t="s">
        <v>102</v>
      </c>
      <c r="W502" s="37" t="s">
        <v>13</v>
      </c>
      <c r="X502" s="37" t="s">
        <v>69</v>
      </c>
      <c r="Y502" s="37" t="s">
        <v>691</v>
      </c>
      <c r="Z502" s="37" t="s">
        <v>90</v>
      </c>
      <c r="AA502" s="12" t="b">
        <f t="shared" si="187"/>
        <v>1</v>
      </c>
      <c r="AB502" s="12" t="b">
        <f t="shared" si="188"/>
        <v>1</v>
      </c>
      <c r="AC502" s="12" t="b">
        <f t="shared" si="189"/>
        <v>1</v>
      </c>
      <c r="AD502" s="12" t="b">
        <f t="shared" si="190"/>
        <v>1</v>
      </c>
      <c r="AE502" s="12" t="b">
        <f t="shared" si="191"/>
        <v>1</v>
      </c>
      <c r="AF502" s="12" t="b">
        <f t="shared" si="192"/>
        <v>1</v>
      </c>
    </row>
    <row r="503" spans="1:32" s="44" customFormat="1" ht="15.75" customHeight="1">
      <c r="A503" s="285"/>
      <c r="B503" s="65" t="s">
        <v>147</v>
      </c>
      <c r="C503" s="56" t="s">
        <v>102</v>
      </c>
      <c r="D503" s="57" t="s">
        <v>13</v>
      </c>
      <c r="E503" s="57" t="s">
        <v>69</v>
      </c>
      <c r="F503" s="57" t="s">
        <v>691</v>
      </c>
      <c r="G503" s="57" t="s">
        <v>154</v>
      </c>
      <c r="H503" s="58">
        <f>14438.55+7670</f>
        <v>22108.55</v>
      </c>
      <c r="I503" s="58">
        <f>15160.48+7725.61</f>
        <v>22886.09</v>
      </c>
      <c r="J503" s="58">
        <f>15766.9+8155.99</f>
        <v>23922.89</v>
      </c>
      <c r="K503" s="58">
        <v>22108.55</v>
      </c>
      <c r="L503" s="58">
        <v>22886.09</v>
      </c>
      <c r="M503" s="58">
        <v>23922.89</v>
      </c>
      <c r="N503" s="43">
        <f t="shared" si="216"/>
        <v>0</v>
      </c>
      <c r="O503" s="58">
        <v>22108.55</v>
      </c>
      <c r="P503" s="58">
        <v>22886.09</v>
      </c>
      <c r="Q503" s="58">
        <v>23922.89</v>
      </c>
      <c r="R503" s="472">
        <f t="shared" si="212"/>
        <v>0</v>
      </c>
      <c r="S503" s="472">
        <f t="shared" si="213"/>
        <v>0</v>
      </c>
      <c r="T503" s="472">
        <f t="shared" si="214"/>
        <v>0</v>
      </c>
      <c r="U503" s="65" t="s">
        <v>147</v>
      </c>
      <c r="V503" s="56" t="s">
        <v>102</v>
      </c>
      <c r="W503" s="57" t="s">
        <v>13</v>
      </c>
      <c r="X503" s="57" t="s">
        <v>69</v>
      </c>
      <c r="Y503" s="57" t="s">
        <v>691</v>
      </c>
      <c r="Z503" s="57" t="s">
        <v>154</v>
      </c>
      <c r="AA503" s="12" t="b">
        <f t="shared" si="187"/>
        <v>1</v>
      </c>
      <c r="AB503" s="12" t="b">
        <f t="shared" si="188"/>
        <v>1</v>
      </c>
      <c r="AC503" s="12" t="b">
        <f t="shared" si="189"/>
        <v>1</v>
      </c>
      <c r="AD503" s="12" t="b">
        <f t="shared" si="190"/>
        <v>1</v>
      </c>
      <c r="AE503" s="12" t="b">
        <f t="shared" si="191"/>
        <v>1</v>
      </c>
      <c r="AF503" s="12" t="b">
        <f t="shared" si="192"/>
        <v>1</v>
      </c>
    </row>
    <row r="504" spans="1:32" s="44" customFormat="1" ht="15.75" customHeight="1">
      <c r="A504" s="285" t="s">
        <v>799</v>
      </c>
      <c r="B504" s="23" t="s">
        <v>844</v>
      </c>
      <c r="C504" s="36" t="s">
        <v>102</v>
      </c>
      <c r="D504" s="37" t="s">
        <v>13</v>
      </c>
      <c r="E504" s="37" t="s">
        <v>69</v>
      </c>
      <c r="F504" s="37" t="s">
        <v>692</v>
      </c>
      <c r="G504" s="37" t="s">
        <v>90</v>
      </c>
      <c r="H504" s="183">
        <f>H505</f>
        <v>2850</v>
      </c>
      <c r="I504" s="183">
        <f>I505</f>
        <v>2850</v>
      </c>
      <c r="J504" s="183">
        <f>J505</f>
        <v>2850</v>
      </c>
      <c r="K504" s="183">
        <v>2850</v>
      </c>
      <c r="L504" s="183">
        <v>2850</v>
      </c>
      <c r="M504" s="183">
        <v>2850</v>
      </c>
      <c r="N504" s="43">
        <f t="shared" si="216"/>
        <v>0</v>
      </c>
      <c r="O504" s="183">
        <v>2850</v>
      </c>
      <c r="P504" s="183">
        <v>2850</v>
      </c>
      <c r="Q504" s="183">
        <v>2850</v>
      </c>
      <c r="R504" s="472">
        <f t="shared" si="212"/>
        <v>0</v>
      </c>
      <c r="S504" s="472">
        <f t="shared" si="213"/>
        <v>0</v>
      </c>
      <c r="T504" s="472">
        <f t="shared" si="214"/>
        <v>0</v>
      </c>
      <c r="U504" s="23" t="s">
        <v>844</v>
      </c>
      <c r="V504" s="36" t="s">
        <v>102</v>
      </c>
      <c r="W504" s="37" t="s">
        <v>13</v>
      </c>
      <c r="X504" s="37" t="s">
        <v>69</v>
      </c>
      <c r="Y504" s="37" t="s">
        <v>692</v>
      </c>
      <c r="Z504" s="37" t="s">
        <v>90</v>
      </c>
      <c r="AA504" s="12" t="b">
        <f t="shared" si="187"/>
        <v>1</v>
      </c>
      <c r="AB504" s="12" t="b">
        <f t="shared" si="188"/>
        <v>1</v>
      </c>
      <c r="AC504" s="12" t="b">
        <f t="shared" si="189"/>
        <v>1</v>
      </c>
      <c r="AD504" s="12" t="b">
        <f t="shared" si="190"/>
        <v>1</v>
      </c>
      <c r="AE504" s="12" t="b">
        <f t="shared" si="191"/>
        <v>1</v>
      </c>
      <c r="AF504" s="12" t="b">
        <f t="shared" si="192"/>
        <v>1</v>
      </c>
    </row>
    <row r="505" spans="1:32" s="44" customFormat="1" ht="15.75" customHeight="1">
      <c r="A505" s="285"/>
      <c r="B505" s="65" t="s">
        <v>147</v>
      </c>
      <c r="C505" s="56" t="s">
        <v>102</v>
      </c>
      <c r="D505" s="57" t="s">
        <v>13</v>
      </c>
      <c r="E505" s="57" t="s">
        <v>69</v>
      </c>
      <c r="F505" s="57" t="s">
        <v>692</v>
      </c>
      <c r="G505" s="57" t="s">
        <v>154</v>
      </c>
      <c r="H505" s="58">
        <v>2850</v>
      </c>
      <c r="I505" s="58">
        <v>2850</v>
      </c>
      <c r="J505" s="58">
        <v>2850</v>
      </c>
      <c r="K505" s="58">
        <v>2850</v>
      </c>
      <c r="L505" s="58">
        <v>2850</v>
      </c>
      <c r="M505" s="58">
        <v>2850</v>
      </c>
      <c r="N505" s="43">
        <f t="shared" si="216"/>
        <v>0</v>
      </c>
      <c r="O505" s="58">
        <v>2850</v>
      </c>
      <c r="P505" s="58">
        <v>2850</v>
      </c>
      <c r="Q505" s="58">
        <v>2850</v>
      </c>
      <c r="R505" s="472">
        <f t="shared" si="212"/>
        <v>0</v>
      </c>
      <c r="S505" s="472">
        <f t="shared" si="213"/>
        <v>0</v>
      </c>
      <c r="T505" s="472">
        <f t="shared" si="214"/>
        <v>0</v>
      </c>
      <c r="U505" s="65" t="s">
        <v>147</v>
      </c>
      <c r="V505" s="56" t="s">
        <v>102</v>
      </c>
      <c r="W505" s="57" t="s">
        <v>13</v>
      </c>
      <c r="X505" s="57" t="s">
        <v>69</v>
      </c>
      <c r="Y505" s="57" t="s">
        <v>692</v>
      </c>
      <c r="Z505" s="57" t="s">
        <v>154</v>
      </c>
      <c r="AA505" s="12" t="b">
        <f t="shared" si="187"/>
        <v>1</v>
      </c>
      <c r="AB505" s="12" t="b">
        <f t="shared" si="188"/>
        <v>1</v>
      </c>
      <c r="AC505" s="12" t="b">
        <f t="shared" si="189"/>
        <v>1</v>
      </c>
      <c r="AD505" s="12" t="b">
        <f t="shared" si="190"/>
        <v>1</v>
      </c>
      <c r="AE505" s="12" t="b">
        <f t="shared" si="191"/>
        <v>1</v>
      </c>
      <c r="AF505" s="12" t="b">
        <f t="shared" si="192"/>
        <v>1</v>
      </c>
    </row>
    <row r="506" spans="1:32" s="44" customFormat="1" ht="15.75" customHeight="1">
      <c r="A506" s="285"/>
      <c r="B506" s="23"/>
      <c r="C506" s="36"/>
      <c r="D506" s="37"/>
      <c r="E506" s="37"/>
      <c r="F506" s="37"/>
      <c r="G506" s="37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472">
        <f t="shared" si="212"/>
        <v>0</v>
      </c>
      <c r="S506" s="472">
        <f t="shared" si="213"/>
        <v>0</v>
      </c>
      <c r="T506" s="472">
        <f t="shared" si="214"/>
        <v>0</v>
      </c>
      <c r="U506" s="23"/>
      <c r="V506" s="36"/>
      <c r="W506" s="37"/>
      <c r="X506" s="37"/>
      <c r="Y506" s="37"/>
      <c r="Z506" s="37"/>
      <c r="AA506" s="12" t="b">
        <f t="shared" si="187"/>
        <v>1</v>
      </c>
      <c r="AB506" s="12" t="b">
        <f t="shared" si="188"/>
        <v>1</v>
      </c>
      <c r="AC506" s="12" t="b">
        <f t="shared" si="189"/>
        <v>1</v>
      </c>
      <c r="AD506" s="12" t="b">
        <f t="shared" si="190"/>
        <v>1</v>
      </c>
      <c r="AE506" s="12" t="b">
        <f t="shared" si="191"/>
        <v>1</v>
      </c>
      <c r="AF506" s="12" t="b">
        <f t="shared" si="192"/>
        <v>1</v>
      </c>
    </row>
    <row r="507" spans="1:32" s="12" customFormat="1" ht="15.75" customHeight="1">
      <c r="A507" s="285"/>
      <c r="B507" s="42" t="s">
        <v>819</v>
      </c>
      <c r="C507" s="25" t="s">
        <v>34</v>
      </c>
      <c r="D507" s="26" t="s">
        <v>83</v>
      </c>
      <c r="E507" s="26" t="s">
        <v>83</v>
      </c>
      <c r="F507" s="26" t="s">
        <v>223</v>
      </c>
      <c r="G507" s="26" t="s">
        <v>90</v>
      </c>
      <c r="H507" s="43">
        <f>H508+H575</f>
        <v>666946.91999999993</v>
      </c>
      <c r="I507" s="43">
        <f>I508+I575</f>
        <v>647462.04</v>
      </c>
      <c r="J507" s="43">
        <f>J508+J575</f>
        <v>648752</v>
      </c>
      <c r="K507" s="43">
        <v>668504.47</v>
      </c>
      <c r="L507" s="43">
        <v>671412.21000000008</v>
      </c>
      <c r="M507" s="43">
        <v>646277.9</v>
      </c>
      <c r="N507" s="43">
        <f>K507-H507</f>
        <v>1557.5500000000466</v>
      </c>
      <c r="O507" s="43">
        <v>667120.25</v>
      </c>
      <c r="P507" s="43">
        <v>670027.99000000011</v>
      </c>
      <c r="Q507" s="43">
        <v>644893.68000000005</v>
      </c>
      <c r="R507" s="472">
        <f t="shared" si="212"/>
        <v>-173.33000000007451</v>
      </c>
      <c r="S507" s="472">
        <f t="shared" si="213"/>
        <v>-22565.95000000007</v>
      </c>
      <c r="T507" s="472">
        <f t="shared" si="214"/>
        <v>3858.3199999999488</v>
      </c>
      <c r="U507" s="42" t="s">
        <v>819</v>
      </c>
      <c r="V507" s="25" t="s">
        <v>34</v>
      </c>
      <c r="W507" s="26" t="s">
        <v>83</v>
      </c>
      <c r="X507" s="26" t="s">
        <v>83</v>
      </c>
      <c r="Y507" s="26" t="s">
        <v>223</v>
      </c>
      <c r="Z507" s="26" t="s">
        <v>90</v>
      </c>
      <c r="AA507" s="12" t="b">
        <f t="shared" si="187"/>
        <v>1</v>
      </c>
      <c r="AB507" s="12" t="b">
        <f t="shared" si="188"/>
        <v>1</v>
      </c>
      <c r="AC507" s="12" t="b">
        <f t="shared" si="189"/>
        <v>1</v>
      </c>
      <c r="AD507" s="12" t="b">
        <f t="shared" si="190"/>
        <v>1</v>
      </c>
      <c r="AE507" s="12" t="b">
        <f t="shared" si="191"/>
        <v>1</v>
      </c>
      <c r="AF507" s="12" t="b">
        <f t="shared" si="192"/>
        <v>1</v>
      </c>
    </row>
    <row r="508" spans="1:32" s="12" customFormat="1" ht="15.75" customHeight="1">
      <c r="A508" s="285"/>
      <c r="B508" s="28" t="s">
        <v>103</v>
      </c>
      <c r="C508" s="29" t="s">
        <v>34</v>
      </c>
      <c r="D508" s="30" t="s">
        <v>104</v>
      </c>
      <c r="E508" s="30" t="s">
        <v>83</v>
      </c>
      <c r="F508" s="30" t="s">
        <v>223</v>
      </c>
      <c r="G508" s="30" t="s">
        <v>90</v>
      </c>
      <c r="H508" s="31">
        <f>H509+H542</f>
        <v>228132.16999999998</v>
      </c>
      <c r="I508" s="31">
        <f>I509+I542</f>
        <v>223830.56</v>
      </c>
      <c r="J508" s="31">
        <f>J509+J542</f>
        <v>224238.56</v>
      </c>
      <c r="K508" s="31">
        <v>228132.16999999998</v>
      </c>
      <c r="L508" s="31">
        <v>247594.56</v>
      </c>
      <c r="M508" s="31">
        <v>224238.56</v>
      </c>
      <c r="N508" s="43">
        <f t="shared" ref="N508:N571" si="217">K508-H508</f>
        <v>0</v>
      </c>
      <c r="O508" s="31">
        <v>226747.94999999998</v>
      </c>
      <c r="P508" s="31">
        <v>246210.34</v>
      </c>
      <c r="Q508" s="31">
        <v>222854.34000000003</v>
      </c>
      <c r="R508" s="472">
        <f t="shared" si="212"/>
        <v>1384.2200000000012</v>
      </c>
      <c r="S508" s="472">
        <f t="shared" si="213"/>
        <v>-22379.78</v>
      </c>
      <c r="T508" s="472">
        <f t="shared" si="214"/>
        <v>1384.2199999999721</v>
      </c>
      <c r="U508" s="28" t="s">
        <v>103</v>
      </c>
      <c r="V508" s="29" t="s">
        <v>34</v>
      </c>
      <c r="W508" s="30" t="s">
        <v>104</v>
      </c>
      <c r="X508" s="30" t="s">
        <v>83</v>
      </c>
      <c r="Y508" s="30" t="s">
        <v>223</v>
      </c>
      <c r="Z508" s="30" t="s">
        <v>90</v>
      </c>
      <c r="AA508" s="12" t="b">
        <f t="shared" si="187"/>
        <v>1</v>
      </c>
      <c r="AB508" s="12" t="b">
        <f t="shared" si="188"/>
        <v>1</v>
      </c>
      <c r="AC508" s="12" t="b">
        <f t="shared" si="189"/>
        <v>1</v>
      </c>
      <c r="AD508" s="12" t="b">
        <f t="shared" si="190"/>
        <v>1</v>
      </c>
      <c r="AE508" s="12" t="b">
        <f t="shared" si="191"/>
        <v>1</v>
      </c>
      <c r="AF508" s="12" t="b">
        <f t="shared" si="192"/>
        <v>1</v>
      </c>
    </row>
    <row r="509" spans="1:32" s="12" customFormat="1" ht="15.75" customHeight="1">
      <c r="A509" s="285"/>
      <c r="B509" s="32" t="s">
        <v>683</v>
      </c>
      <c r="C509" s="33" t="s">
        <v>34</v>
      </c>
      <c r="D509" s="34" t="s">
        <v>104</v>
      </c>
      <c r="E509" s="34" t="s">
        <v>85</v>
      </c>
      <c r="F509" s="34" t="s">
        <v>223</v>
      </c>
      <c r="G509" s="34" t="s">
        <v>90</v>
      </c>
      <c r="H509" s="35">
        <f>H510+H536+H530</f>
        <v>211602.06</v>
      </c>
      <c r="I509" s="35">
        <f>I510+I536+I530</f>
        <v>207298.78</v>
      </c>
      <c r="J509" s="35">
        <f>J510+J536+J530</f>
        <v>207705.04</v>
      </c>
      <c r="K509" s="35">
        <v>211602.06</v>
      </c>
      <c r="L509" s="35">
        <v>231062.78</v>
      </c>
      <c r="M509" s="35">
        <v>207705.04</v>
      </c>
      <c r="N509" s="43">
        <f t="shared" si="217"/>
        <v>0</v>
      </c>
      <c r="O509" s="35">
        <v>210225.36</v>
      </c>
      <c r="P509" s="35">
        <v>229686.08</v>
      </c>
      <c r="Q509" s="35">
        <v>206328.34000000003</v>
      </c>
      <c r="R509" s="472">
        <f t="shared" si="212"/>
        <v>1376.7000000000116</v>
      </c>
      <c r="S509" s="472">
        <f t="shared" si="213"/>
        <v>-22387.299999999988</v>
      </c>
      <c r="T509" s="472">
        <f t="shared" si="214"/>
        <v>1376.6999999999825</v>
      </c>
      <c r="U509" s="32" t="s">
        <v>683</v>
      </c>
      <c r="V509" s="33" t="s">
        <v>34</v>
      </c>
      <c r="W509" s="34" t="s">
        <v>104</v>
      </c>
      <c r="X509" s="34" t="s">
        <v>85</v>
      </c>
      <c r="Y509" s="34" t="s">
        <v>223</v>
      </c>
      <c r="Z509" s="34" t="s">
        <v>90</v>
      </c>
      <c r="AA509" s="12" t="b">
        <f t="shared" si="187"/>
        <v>1</v>
      </c>
      <c r="AB509" s="12" t="b">
        <f t="shared" si="188"/>
        <v>1</v>
      </c>
      <c r="AC509" s="12" t="b">
        <f t="shared" si="189"/>
        <v>1</v>
      </c>
      <c r="AD509" s="12" t="b">
        <f t="shared" si="190"/>
        <v>1</v>
      </c>
      <c r="AE509" s="12" t="b">
        <f t="shared" si="191"/>
        <v>1</v>
      </c>
      <c r="AF509" s="12" t="b">
        <f t="shared" si="192"/>
        <v>1</v>
      </c>
    </row>
    <row r="510" spans="1:32" s="12" customFormat="1" ht="15.75" customHeight="1">
      <c r="A510" s="285"/>
      <c r="B510" s="182" t="s">
        <v>656</v>
      </c>
      <c r="C510" s="36" t="s">
        <v>34</v>
      </c>
      <c r="D510" s="37" t="s">
        <v>104</v>
      </c>
      <c r="E510" s="37" t="s">
        <v>85</v>
      </c>
      <c r="F510" s="37" t="s">
        <v>279</v>
      </c>
      <c r="G510" s="37" t="s">
        <v>90</v>
      </c>
      <c r="H510" s="183">
        <f>H511+H516</f>
        <v>203600.43</v>
      </c>
      <c r="I510" s="183">
        <f t="shared" ref="I510:J510" si="218">I511+I516</f>
        <v>199297.15</v>
      </c>
      <c r="J510" s="183">
        <f t="shared" si="218"/>
        <v>199703.41</v>
      </c>
      <c r="K510" s="183">
        <v>203600.43</v>
      </c>
      <c r="L510" s="183">
        <v>223061.15</v>
      </c>
      <c r="M510" s="183">
        <v>199703.41</v>
      </c>
      <c r="N510" s="43">
        <f t="shared" si="217"/>
        <v>0</v>
      </c>
      <c r="O510" s="183">
        <v>202223.72999999998</v>
      </c>
      <c r="P510" s="183">
        <v>221684.44999999998</v>
      </c>
      <c r="Q510" s="183">
        <v>198326.71000000002</v>
      </c>
      <c r="R510" s="472">
        <f t="shared" si="212"/>
        <v>1376.7000000000116</v>
      </c>
      <c r="S510" s="472">
        <f t="shared" si="213"/>
        <v>-22387.299999999988</v>
      </c>
      <c r="T510" s="472">
        <f t="shared" si="214"/>
        <v>1376.6999999999825</v>
      </c>
      <c r="U510" s="182" t="s">
        <v>656</v>
      </c>
      <c r="V510" s="36" t="s">
        <v>34</v>
      </c>
      <c r="W510" s="37" t="s">
        <v>104</v>
      </c>
      <c r="X510" s="37" t="s">
        <v>85</v>
      </c>
      <c r="Y510" s="37" t="s">
        <v>279</v>
      </c>
      <c r="Z510" s="37" t="s">
        <v>90</v>
      </c>
      <c r="AA510" s="12" t="b">
        <f t="shared" si="187"/>
        <v>1</v>
      </c>
      <c r="AB510" s="12" t="b">
        <f t="shared" si="188"/>
        <v>1</v>
      </c>
      <c r="AC510" s="12" t="b">
        <f t="shared" si="189"/>
        <v>1</v>
      </c>
      <c r="AD510" s="12" t="b">
        <f t="shared" si="190"/>
        <v>1</v>
      </c>
      <c r="AE510" s="12" t="b">
        <f t="shared" si="191"/>
        <v>1</v>
      </c>
      <c r="AF510" s="12" t="b">
        <f t="shared" si="192"/>
        <v>1</v>
      </c>
    </row>
    <row r="511" spans="1:32" s="12" customFormat="1" ht="15.75" customHeight="1">
      <c r="A511" s="285"/>
      <c r="B511" s="182" t="s">
        <v>217</v>
      </c>
      <c r="C511" s="36" t="s">
        <v>34</v>
      </c>
      <c r="D511" s="37" t="s">
        <v>104</v>
      </c>
      <c r="E511" s="37" t="s">
        <v>85</v>
      </c>
      <c r="F511" s="37" t="s">
        <v>280</v>
      </c>
      <c r="G511" s="37" t="s">
        <v>90</v>
      </c>
      <c r="H511" s="183">
        <f t="shared" ref="H511:J512" si="219">H512</f>
        <v>361.5</v>
      </c>
      <c r="I511" s="183">
        <f t="shared" si="219"/>
        <v>361.5</v>
      </c>
      <c r="J511" s="183">
        <f t="shared" si="219"/>
        <v>361.5</v>
      </c>
      <c r="K511" s="183">
        <v>361.5</v>
      </c>
      <c r="L511" s="183">
        <v>361.5</v>
      </c>
      <c r="M511" s="183">
        <v>361.5</v>
      </c>
      <c r="N511" s="43">
        <f t="shared" si="217"/>
        <v>0</v>
      </c>
      <c r="O511" s="183">
        <v>361.5</v>
      </c>
      <c r="P511" s="183">
        <v>361.5</v>
      </c>
      <c r="Q511" s="183">
        <v>361.5</v>
      </c>
      <c r="R511" s="472">
        <f t="shared" si="212"/>
        <v>0</v>
      </c>
      <c r="S511" s="472">
        <f t="shared" si="213"/>
        <v>0</v>
      </c>
      <c r="T511" s="472">
        <f t="shared" si="214"/>
        <v>0</v>
      </c>
      <c r="U511" s="182" t="s">
        <v>217</v>
      </c>
      <c r="V511" s="36" t="s">
        <v>34</v>
      </c>
      <c r="W511" s="37" t="s">
        <v>104</v>
      </c>
      <c r="X511" s="37" t="s">
        <v>85</v>
      </c>
      <c r="Y511" s="37" t="s">
        <v>280</v>
      </c>
      <c r="Z511" s="37" t="s">
        <v>90</v>
      </c>
      <c r="AA511" s="12" t="b">
        <f t="shared" si="187"/>
        <v>1</v>
      </c>
      <c r="AB511" s="12" t="b">
        <f t="shared" si="188"/>
        <v>1</v>
      </c>
      <c r="AC511" s="12" t="b">
        <f t="shared" si="189"/>
        <v>1</v>
      </c>
      <c r="AD511" s="12" t="b">
        <f t="shared" si="190"/>
        <v>1</v>
      </c>
      <c r="AE511" s="12" t="b">
        <f t="shared" si="191"/>
        <v>1</v>
      </c>
      <c r="AF511" s="12" t="b">
        <f t="shared" si="192"/>
        <v>1</v>
      </c>
    </row>
    <row r="512" spans="1:32" s="12" customFormat="1" ht="15.75" customHeight="1">
      <c r="A512" s="285"/>
      <c r="B512" s="182" t="s">
        <v>523</v>
      </c>
      <c r="C512" s="36" t="s">
        <v>34</v>
      </c>
      <c r="D512" s="37" t="s">
        <v>104</v>
      </c>
      <c r="E512" s="37" t="s">
        <v>85</v>
      </c>
      <c r="F512" s="37" t="s">
        <v>281</v>
      </c>
      <c r="G512" s="37" t="s">
        <v>90</v>
      </c>
      <c r="H512" s="183">
        <f>H513</f>
        <v>361.5</v>
      </c>
      <c r="I512" s="183">
        <f t="shared" si="219"/>
        <v>361.5</v>
      </c>
      <c r="J512" s="183">
        <f t="shared" si="219"/>
        <v>361.5</v>
      </c>
      <c r="K512" s="183">
        <v>361.5</v>
      </c>
      <c r="L512" s="183">
        <v>361.5</v>
      </c>
      <c r="M512" s="183">
        <v>361.5</v>
      </c>
      <c r="N512" s="43">
        <f t="shared" si="217"/>
        <v>0</v>
      </c>
      <c r="O512" s="183">
        <v>361.5</v>
      </c>
      <c r="P512" s="183">
        <v>361.5</v>
      </c>
      <c r="Q512" s="183">
        <v>361.5</v>
      </c>
      <c r="R512" s="472">
        <f t="shared" si="212"/>
        <v>0</v>
      </c>
      <c r="S512" s="472">
        <f t="shared" si="213"/>
        <v>0</v>
      </c>
      <c r="T512" s="472">
        <f t="shared" si="214"/>
        <v>0</v>
      </c>
      <c r="U512" s="182" t="s">
        <v>523</v>
      </c>
      <c r="V512" s="36" t="s">
        <v>34</v>
      </c>
      <c r="W512" s="37" t="s">
        <v>104</v>
      </c>
      <c r="X512" s="37" t="s">
        <v>85</v>
      </c>
      <c r="Y512" s="37" t="s">
        <v>281</v>
      </c>
      <c r="Z512" s="37" t="s">
        <v>90</v>
      </c>
      <c r="AA512" s="12" t="b">
        <f t="shared" ref="AA512:AA572" si="220">B512=U512</f>
        <v>1</v>
      </c>
      <c r="AB512" s="12" t="b">
        <f t="shared" ref="AB512:AB572" si="221">C512=V512</f>
        <v>1</v>
      </c>
      <c r="AC512" s="12" t="b">
        <f t="shared" ref="AC512:AC572" si="222">D512=W512</f>
        <v>1</v>
      </c>
      <c r="AD512" s="12" t="b">
        <f t="shared" ref="AD512:AD572" si="223">E512=X512</f>
        <v>1</v>
      </c>
      <c r="AE512" s="12" t="b">
        <f t="shared" ref="AE512:AE572" si="224">F512=Y512</f>
        <v>1</v>
      </c>
      <c r="AF512" s="12" t="b">
        <f t="shared" ref="AF512:AF572" si="225">G512=Z512</f>
        <v>1</v>
      </c>
    </row>
    <row r="513" spans="1:32" s="12" customFormat="1" ht="15.75" customHeight="1">
      <c r="A513" s="285"/>
      <c r="B513" s="182" t="s">
        <v>189</v>
      </c>
      <c r="C513" s="36" t="s">
        <v>34</v>
      </c>
      <c r="D513" s="37" t="s">
        <v>104</v>
      </c>
      <c r="E513" s="37" t="s">
        <v>85</v>
      </c>
      <c r="F513" s="37" t="s">
        <v>307</v>
      </c>
      <c r="G513" s="37" t="s">
        <v>90</v>
      </c>
      <c r="H513" s="183">
        <f>H514+H515</f>
        <v>361.5</v>
      </c>
      <c r="I513" s="183">
        <f t="shared" ref="I513:J513" si="226">I514+I515</f>
        <v>361.5</v>
      </c>
      <c r="J513" s="183">
        <f t="shared" si="226"/>
        <v>361.5</v>
      </c>
      <c r="K513" s="183">
        <v>361.5</v>
      </c>
      <c r="L513" s="183">
        <v>361.5</v>
      </c>
      <c r="M513" s="183">
        <v>361.5</v>
      </c>
      <c r="N513" s="43">
        <f t="shared" si="217"/>
        <v>0</v>
      </c>
      <c r="O513" s="183">
        <v>361.5</v>
      </c>
      <c r="P513" s="183">
        <v>361.5</v>
      </c>
      <c r="Q513" s="183">
        <v>361.5</v>
      </c>
      <c r="R513" s="472">
        <f t="shared" si="212"/>
        <v>0</v>
      </c>
      <c r="S513" s="472">
        <f t="shared" si="213"/>
        <v>0</v>
      </c>
      <c r="T513" s="472">
        <f t="shared" si="214"/>
        <v>0</v>
      </c>
      <c r="U513" s="182" t="s">
        <v>189</v>
      </c>
      <c r="V513" s="36" t="s">
        <v>34</v>
      </c>
      <c r="W513" s="37" t="s">
        <v>104</v>
      </c>
      <c r="X513" s="37" t="s">
        <v>85</v>
      </c>
      <c r="Y513" s="37" t="s">
        <v>307</v>
      </c>
      <c r="Z513" s="37" t="s">
        <v>90</v>
      </c>
      <c r="AA513" s="12" t="b">
        <f t="shared" si="220"/>
        <v>1</v>
      </c>
      <c r="AB513" s="12" t="b">
        <f t="shared" si="221"/>
        <v>1</v>
      </c>
      <c r="AC513" s="12" t="b">
        <f t="shared" si="222"/>
        <v>1</v>
      </c>
      <c r="AD513" s="12" t="b">
        <f t="shared" si="223"/>
        <v>1</v>
      </c>
      <c r="AE513" s="12" t="b">
        <f t="shared" si="224"/>
        <v>1</v>
      </c>
      <c r="AF513" s="12" t="b">
        <f t="shared" si="225"/>
        <v>1</v>
      </c>
    </row>
    <row r="514" spans="1:32" s="12" customFormat="1" ht="15.75" customHeight="1">
      <c r="A514" s="285"/>
      <c r="B514" s="23" t="s">
        <v>132</v>
      </c>
      <c r="C514" s="36" t="s">
        <v>34</v>
      </c>
      <c r="D514" s="37" t="s">
        <v>104</v>
      </c>
      <c r="E514" s="37" t="s">
        <v>85</v>
      </c>
      <c r="F514" s="37" t="s">
        <v>307</v>
      </c>
      <c r="G514" s="37" t="s">
        <v>171</v>
      </c>
      <c r="H514" s="183">
        <v>291.5</v>
      </c>
      <c r="I514" s="183">
        <v>291.5</v>
      </c>
      <c r="J514" s="183">
        <v>291.5</v>
      </c>
      <c r="K514" s="183">
        <v>291.5</v>
      </c>
      <c r="L514" s="183">
        <v>291.5</v>
      </c>
      <c r="M514" s="183">
        <v>291.5</v>
      </c>
      <c r="N514" s="43">
        <f t="shared" si="217"/>
        <v>0</v>
      </c>
      <c r="O514" s="183">
        <v>291.5</v>
      </c>
      <c r="P514" s="183">
        <v>291.5</v>
      </c>
      <c r="Q514" s="183">
        <v>291.5</v>
      </c>
      <c r="R514" s="472">
        <f t="shared" si="212"/>
        <v>0</v>
      </c>
      <c r="S514" s="472">
        <f t="shared" si="213"/>
        <v>0</v>
      </c>
      <c r="T514" s="472">
        <f t="shared" si="214"/>
        <v>0</v>
      </c>
      <c r="U514" s="23" t="s">
        <v>132</v>
      </c>
      <c r="V514" s="36" t="s">
        <v>34</v>
      </c>
      <c r="W514" s="37" t="s">
        <v>104</v>
      </c>
      <c r="X514" s="37" t="s">
        <v>85</v>
      </c>
      <c r="Y514" s="37" t="s">
        <v>307</v>
      </c>
      <c r="Z514" s="37" t="s">
        <v>171</v>
      </c>
      <c r="AA514" s="12" t="b">
        <f t="shared" si="220"/>
        <v>1</v>
      </c>
      <c r="AB514" s="12" t="b">
        <f t="shared" si="221"/>
        <v>1</v>
      </c>
      <c r="AC514" s="12" t="b">
        <f t="shared" si="222"/>
        <v>1</v>
      </c>
      <c r="AD514" s="12" t="b">
        <f t="shared" si="223"/>
        <v>1</v>
      </c>
      <c r="AE514" s="12" t="b">
        <f t="shared" si="224"/>
        <v>1</v>
      </c>
      <c r="AF514" s="12" t="b">
        <f t="shared" si="225"/>
        <v>1</v>
      </c>
    </row>
    <row r="515" spans="1:32" s="12" customFormat="1" ht="15.75" customHeight="1">
      <c r="A515" s="285"/>
      <c r="B515" s="23" t="s">
        <v>133</v>
      </c>
      <c r="C515" s="36" t="s">
        <v>34</v>
      </c>
      <c r="D515" s="37" t="s">
        <v>104</v>
      </c>
      <c r="E515" s="37" t="s">
        <v>85</v>
      </c>
      <c r="F515" s="37" t="s">
        <v>307</v>
      </c>
      <c r="G515" s="37" t="s">
        <v>19</v>
      </c>
      <c r="H515" s="183">
        <v>70</v>
      </c>
      <c r="I515" s="183">
        <v>70</v>
      </c>
      <c r="J515" s="183">
        <v>70</v>
      </c>
      <c r="K515" s="183">
        <v>70</v>
      </c>
      <c r="L515" s="183">
        <v>70</v>
      </c>
      <c r="M515" s="183">
        <v>70</v>
      </c>
      <c r="N515" s="43">
        <f t="shared" si="217"/>
        <v>0</v>
      </c>
      <c r="O515" s="183">
        <v>70</v>
      </c>
      <c r="P515" s="183">
        <v>70</v>
      </c>
      <c r="Q515" s="183">
        <v>70</v>
      </c>
      <c r="R515" s="472">
        <f t="shared" si="212"/>
        <v>0</v>
      </c>
      <c r="S515" s="472">
        <f t="shared" si="213"/>
        <v>0</v>
      </c>
      <c r="T515" s="472">
        <f t="shared" si="214"/>
        <v>0</v>
      </c>
      <c r="U515" s="23" t="s">
        <v>133</v>
      </c>
      <c r="V515" s="36" t="s">
        <v>34</v>
      </c>
      <c r="W515" s="37" t="s">
        <v>104</v>
      </c>
      <c r="X515" s="37" t="s">
        <v>85</v>
      </c>
      <c r="Y515" s="37" t="s">
        <v>307</v>
      </c>
      <c r="Z515" s="37" t="s">
        <v>19</v>
      </c>
      <c r="AA515" s="12" t="b">
        <f t="shared" si="220"/>
        <v>1</v>
      </c>
      <c r="AB515" s="12" t="b">
        <f t="shared" si="221"/>
        <v>1</v>
      </c>
      <c r="AC515" s="12" t="b">
        <f t="shared" si="222"/>
        <v>1</v>
      </c>
      <c r="AD515" s="12" t="b">
        <f t="shared" si="223"/>
        <v>1</v>
      </c>
      <c r="AE515" s="12" t="b">
        <f t="shared" si="224"/>
        <v>1</v>
      </c>
      <c r="AF515" s="12" t="b">
        <f t="shared" si="225"/>
        <v>1</v>
      </c>
    </row>
    <row r="516" spans="1:32" s="12" customFormat="1" ht="15.75" customHeight="1">
      <c r="A516" s="285"/>
      <c r="B516" s="182" t="s">
        <v>172</v>
      </c>
      <c r="C516" s="36" t="s">
        <v>34</v>
      </c>
      <c r="D516" s="37" t="s">
        <v>104</v>
      </c>
      <c r="E516" s="37" t="s">
        <v>85</v>
      </c>
      <c r="F516" s="37" t="s">
        <v>347</v>
      </c>
      <c r="G516" s="37" t="s">
        <v>90</v>
      </c>
      <c r="H516" s="183">
        <f>H517+H521+H524+H527</f>
        <v>203238.93</v>
      </c>
      <c r="I516" s="183">
        <f>I517+I521+I524+I527</f>
        <v>198935.65</v>
      </c>
      <c r="J516" s="183">
        <f>J517+J521+J524+J527</f>
        <v>199341.91</v>
      </c>
      <c r="K516" s="183">
        <v>203238.93</v>
      </c>
      <c r="L516" s="183">
        <v>222699.65</v>
      </c>
      <c r="M516" s="183">
        <v>199341.91</v>
      </c>
      <c r="N516" s="43">
        <f t="shared" si="217"/>
        <v>0</v>
      </c>
      <c r="O516" s="183">
        <v>201862.22999999998</v>
      </c>
      <c r="P516" s="183">
        <v>221322.94999999998</v>
      </c>
      <c r="Q516" s="183">
        <v>197965.21000000002</v>
      </c>
      <c r="R516" s="472">
        <f t="shared" si="212"/>
        <v>1376.7000000000116</v>
      </c>
      <c r="S516" s="472">
        <f t="shared" si="213"/>
        <v>-22387.299999999988</v>
      </c>
      <c r="T516" s="472">
        <f t="shared" si="214"/>
        <v>1376.6999999999825</v>
      </c>
      <c r="U516" s="182" t="s">
        <v>172</v>
      </c>
      <c r="V516" s="36" t="s">
        <v>34</v>
      </c>
      <c r="W516" s="37" t="s">
        <v>104</v>
      </c>
      <c r="X516" s="37" t="s">
        <v>85</v>
      </c>
      <c r="Y516" s="37" t="s">
        <v>347</v>
      </c>
      <c r="Z516" s="37" t="s">
        <v>90</v>
      </c>
      <c r="AA516" s="12" t="b">
        <f t="shared" si="220"/>
        <v>1</v>
      </c>
      <c r="AB516" s="12" t="b">
        <f t="shared" si="221"/>
        <v>1</v>
      </c>
      <c r="AC516" s="12" t="b">
        <f t="shared" si="222"/>
        <v>1</v>
      </c>
      <c r="AD516" s="12" t="b">
        <f t="shared" si="223"/>
        <v>1</v>
      </c>
      <c r="AE516" s="12" t="b">
        <f t="shared" si="224"/>
        <v>1</v>
      </c>
      <c r="AF516" s="12" t="b">
        <f t="shared" si="225"/>
        <v>1</v>
      </c>
    </row>
    <row r="517" spans="1:32" s="12" customFormat="1" ht="15.75" customHeight="1">
      <c r="A517" s="285"/>
      <c r="B517" s="182" t="s">
        <v>900</v>
      </c>
      <c r="C517" s="36" t="s">
        <v>34</v>
      </c>
      <c r="D517" s="37" t="s">
        <v>104</v>
      </c>
      <c r="E517" s="37" t="s">
        <v>85</v>
      </c>
      <c r="F517" s="37" t="s">
        <v>348</v>
      </c>
      <c r="G517" s="37" t="s">
        <v>90</v>
      </c>
      <c r="H517" s="183">
        <f>H518</f>
        <v>197945.02</v>
      </c>
      <c r="I517" s="183">
        <f t="shared" ref="I517:J517" si="227">I518</f>
        <v>198335.65</v>
      </c>
      <c r="J517" s="183">
        <f t="shared" si="227"/>
        <v>198741.91</v>
      </c>
      <c r="K517" s="183">
        <v>197945.02</v>
      </c>
      <c r="L517" s="183">
        <v>198335.65</v>
      </c>
      <c r="M517" s="183">
        <v>198741.91</v>
      </c>
      <c r="N517" s="43">
        <f t="shared" si="217"/>
        <v>0</v>
      </c>
      <c r="O517" s="183">
        <v>196568.31999999998</v>
      </c>
      <c r="P517" s="183">
        <v>196958.94999999998</v>
      </c>
      <c r="Q517" s="183">
        <v>197365.21000000002</v>
      </c>
      <c r="R517" s="472">
        <f t="shared" si="212"/>
        <v>1376.7000000000116</v>
      </c>
      <c r="S517" s="472">
        <f t="shared" si="213"/>
        <v>1376.7000000000116</v>
      </c>
      <c r="T517" s="472">
        <f t="shared" si="214"/>
        <v>1376.6999999999825</v>
      </c>
      <c r="U517" s="182" t="s">
        <v>900</v>
      </c>
      <c r="V517" s="36" t="s">
        <v>34</v>
      </c>
      <c r="W517" s="37" t="s">
        <v>104</v>
      </c>
      <c r="X517" s="37" t="s">
        <v>85</v>
      </c>
      <c r="Y517" s="37" t="s">
        <v>348</v>
      </c>
      <c r="Z517" s="37" t="s">
        <v>90</v>
      </c>
      <c r="AA517" s="12" t="b">
        <f t="shared" si="220"/>
        <v>1</v>
      </c>
      <c r="AB517" s="12" t="b">
        <f t="shared" si="221"/>
        <v>1</v>
      </c>
      <c r="AC517" s="12" t="b">
        <f t="shared" si="222"/>
        <v>1</v>
      </c>
      <c r="AD517" s="12" t="b">
        <f t="shared" si="223"/>
        <v>1</v>
      </c>
      <c r="AE517" s="12" t="b">
        <f t="shared" si="224"/>
        <v>1</v>
      </c>
      <c r="AF517" s="12" t="b">
        <f t="shared" si="225"/>
        <v>1</v>
      </c>
    </row>
    <row r="518" spans="1:32" s="12" customFormat="1" ht="15.75" customHeight="1">
      <c r="A518" s="285"/>
      <c r="B518" s="182" t="s">
        <v>254</v>
      </c>
      <c r="C518" s="36" t="s">
        <v>34</v>
      </c>
      <c r="D518" s="37" t="s">
        <v>104</v>
      </c>
      <c r="E518" s="37" t="s">
        <v>85</v>
      </c>
      <c r="F518" s="37" t="s">
        <v>349</v>
      </c>
      <c r="G518" s="37" t="s">
        <v>90</v>
      </c>
      <c r="H518" s="183">
        <f>SUM(H519:H520)</f>
        <v>197945.02</v>
      </c>
      <c r="I518" s="183">
        <f>SUM(I519:I520)</f>
        <v>198335.65</v>
      </c>
      <c r="J518" s="183">
        <f>SUM(J519:J520)</f>
        <v>198741.91</v>
      </c>
      <c r="K518" s="183">
        <v>197945.02</v>
      </c>
      <c r="L518" s="183">
        <v>198335.65</v>
      </c>
      <c r="M518" s="183">
        <v>198741.91</v>
      </c>
      <c r="N518" s="43">
        <f t="shared" si="217"/>
        <v>0</v>
      </c>
      <c r="O518" s="183">
        <v>196568.31999999998</v>
      </c>
      <c r="P518" s="183">
        <v>196958.94999999998</v>
      </c>
      <c r="Q518" s="183">
        <v>197365.21000000002</v>
      </c>
      <c r="R518" s="472">
        <f t="shared" si="212"/>
        <v>1376.7000000000116</v>
      </c>
      <c r="S518" s="472">
        <f t="shared" si="213"/>
        <v>1376.7000000000116</v>
      </c>
      <c r="T518" s="472">
        <f t="shared" si="214"/>
        <v>1376.6999999999825</v>
      </c>
      <c r="U518" s="182" t="s">
        <v>254</v>
      </c>
      <c r="V518" s="36" t="s">
        <v>34</v>
      </c>
      <c r="W518" s="37" t="s">
        <v>104</v>
      </c>
      <c r="X518" s="37" t="s">
        <v>85</v>
      </c>
      <c r="Y518" s="37" t="s">
        <v>349</v>
      </c>
      <c r="Z518" s="37" t="s">
        <v>90</v>
      </c>
      <c r="AA518" s="12" t="b">
        <f t="shared" si="220"/>
        <v>1</v>
      </c>
      <c r="AB518" s="12" t="b">
        <f t="shared" si="221"/>
        <v>1</v>
      </c>
      <c r="AC518" s="12" t="b">
        <f t="shared" si="222"/>
        <v>1</v>
      </c>
      <c r="AD518" s="12" t="b">
        <f t="shared" si="223"/>
        <v>1</v>
      </c>
      <c r="AE518" s="12" t="b">
        <f t="shared" si="224"/>
        <v>1</v>
      </c>
      <c r="AF518" s="12" t="b">
        <f t="shared" si="225"/>
        <v>1</v>
      </c>
    </row>
    <row r="519" spans="1:32" s="12" customFormat="1" ht="15.75" customHeight="1">
      <c r="A519" s="285"/>
      <c r="B519" s="54" t="s">
        <v>132</v>
      </c>
      <c r="C519" s="56" t="s">
        <v>34</v>
      </c>
      <c r="D519" s="57" t="s">
        <v>104</v>
      </c>
      <c r="E519" s="57" t="s">
        <v>85</v>
      </c>
      <c r="F519" s="57" t="s">
        <v>349</v>
      </c>
      <c r="G519" s="57" t="s">
        <v>171</v>
      </c>
      <c r="H519" s="58">
        <f>176665.61+404.1+1308.99</f>
        <v>178378.69999999998</v>
      </c>
      <c r="I519" s="58">
        <f>177021.8+404.1+1308.99</f>
        <v>178734.88999999998</v>
      </c>
      <c r="J519" s="58">
        <f>177392.22+404.1+1308.99</f>
        <v>179105.31</v>
      </c>
      <c r="K519" s="58">
        <v>178378.69999999998</v>
      </c>
      <c r="L519" s="58">
        <v>178734.88999999998</v>
      </c>
      <c r="M519" s="58">
        <v>179105.31</v>
      </c>
      <c r="N519" s="43">
        <f t="shared" si="217"/>
        <v>0</v>
      </c>
      <c r="O519" s="58">
        <v>177069.71</v>
      </c>
      <c r="P519" s="58">
        <v>177425.9</v>
      </c>
      <c r="Q519" s="58">
        <v>177796.32</v>
      </c>
      <c r="R519" s="472">
        <f t="shared" si="212"/>
        <v>1308.9899999999907</v>
      </c>
      <c r="S519" s="472">
        <f t="shared" si="213"/>
        <v>1308.9899999999907</v>
      </c>
      <c r="T519" s="472">
        <f t="shared" si="214"/>
        <v>1308.9899999999907</v>
      </c>
      <c r="U519" s="54" t="s">
        <v>132</v>
      </c>
      <c r="V519" s="56" t="s">
        <v>34</v>
      </c>
      <c r="W519" s="57" t="s">
        <v>104</v>
      </c>
      <c r="X519" s="57" t="s">
        <v>85</v>
      </c>
      <c r="Y519" s="57" t="s">
        <v>349</v>
      </c>
      <c r="Z519" s="57" t="s">
        <v>171</v>
      </c>
      <c r="AA519" s="12" t="b">
        <f t="shared" si="220"/>
        <v>1</v>
      </c>
      <c r="AB519" s="12" t="b">
        <f t="shared" si="221"/>
        <v>1</v>
      </c>
      <c r="AC519" s="12" t="b">
        <f t="shared" si="222"/>
        <v>1</v>
      </c>
      <c r="AD519" s="12" t="b">
        <f t="shared" si="223"/>
        <v>1</v>
      </c>
      <c r="AE519" s="12" t="b">
        <f t="shared" si="224"/>
        <v>1</v>
      </c>
      <c r="AF519" s="12" t="b">
        <f t="shared" si="225"/>
        <v>1</v>
      </c>
    </row>
    <row r="520" spans="1:32" s="44" customFormat="1" ht="15.75" customHeight="1">
      <c r="A520" s="285"/>
      <c r="B520" s="54" t="s">
        <v>133</v>
      </c>
      <c r="C520" s="56" t="s">
        <v>34</v>
      </c>
      <c r="D520" s="57" t="s">
        <v>104</v>
      </c>
      <c r="E520" s="57" t="s">
        <v>85</v>
      </c>
      <c r="F520" s="57" t="s">
        <v>349</v>
      </c>
      <c r="G520" s="57" t="s">
        <v>19</v>
      </c>
      <c r="H520" s="58">
        <f>19431.26+67.35+67.71</f>
        <v>19566.319999999996</v>
      </c>
      <c r="I520" s="58">
        <f>19465.7+67.35+67.71</f>
        <v>19600.759999999998</v>
      </c>
      <c r="J520" s="58">
        <f>19501.54+67.35+67.71</f>
        <v>19636.599999999999</v>
      </c>
      <c r="K520" s="58">
        <v>19566.319999999996</v>
      </c>
      <c r="L520" s="58">
        <v>19600.759999999998</v>
      </c>
      <c r="M520" s="58">
        <v>19636.599999999999</v>
      </c>
      <c r="N520" s="43">
        <f t="shared" si="217"/>
        <v>0</v>
      </c>
      <c r="O520" s="58">
        <v>19498.609999999997</v>
      </c>
      <c r="P520" s="58">
        <v>19533.05</v>
      </c>
      <c r="Q520" s="58">
        <v>19568.89</v>
      </c>
      <c r="R520" s="472">
        <f t="shared" si="212"/>
        <v>67.709999999999127</v>
      </c>
      <c r="S520" s="472">
        <f t="shared" si="213"/>
        <v>67.709999999999127</v>
      </c>
      <c r="T520" s="472">
        <f t="shared" si="214"/>
        <v>67.709999999999127</v>
      </c>
      <c r="U520" s="54" t="s">
        <v>133</v>
      </c>
      <c r="V520" s="56" t="s">
        <v>34</v>
      </c>
      <c r="W520" s="57" t="s">
        <v>104</v>
      </c>
      <c r="X520" s="57" t="s">
        <v>85</v>
      </c>
      <c r="Y520" s="57" t="s">
        <v>349</v>
      </c>
      <c r="Z520" s="57" t="s">
        <v>19</v>
      </c>
      <c r="AA520" s="12" t="b">
        <f t="shared" si="220"/>
        <v>1</v>
      </c>
      <c r="AB520" s="12" t="b">
        <f t="shared" si="221"/>
        <v>1</v>
      </c>
      <c r="AC520" s="12" t="b">
        <f t="shared" si="222"/>
        <v>1</v>
      </c>
      <c r="AD520" s="12" t="b">
        <f t="shared" si="223"/>
        <v>1</v>
      </c>
      <c r="AE520" s="12" t="b">
        <f t="shared" si="224"/>
        <v>1</v>
      </c>
      <c r="AF520" s="12" t="b">
        <f t="shared" si="225"/>
        <v>1</v>
      </c>
    </row>
    <row r="521" spans="1:32" s="12" customFormat="1" ht="15.75" customHeight="1">
      <c r="A521" s="285"/>
      <c r="B521" s="23" t="s">
        <v>1132</v>
      </c>
      <c r="C521" s="36" t="s">
        <v>34</v>
      </c>
      <c r="D521" s="37" t="s">
        <v>104</v>
      </c>
      <c r="E521" s="37" t="s">
        <v>85</v>
      </c>
      <c r="F521" s="37" t="s">
        <v>361</v>
      </c>
      <c r="G521" s="37" t="s">
        <v>90</v>
      </c>
      <c r="H521" s="183">
        <f t="shared" ref="H521:J522" si="228">H522</f>
        <v>600</v>
      </c>
      <c r="I521" s="183">
        <f t="shared" si="228"/>
        <v>600</v>
      </c>
      <c r="J521" s="183">
        <f t="shared" si="228"/>
        <v>600</v>
      </c>
      <c r="K521" s="183">
        <v>600</v>
      </c>
      <c r="L521" s="183">
        <v>600</v>
      </c>
      <c r="M521" s="183">
        <v>600</v>
      </c>
      <c r="N521" s="43">
        <f t="shared" si="217"/>
        <v>0</v>
      </c>
      <c r="O521" s="183">
        <v>600</v>
      </c>
      <c r="P521" s="183">
        <v>600</v>
      </c>
      <c r="Q521" s="183">
        <v>600</v>
      </c>
      <c r="R521" s="472">
        <f t="shared" si="212"/>
        <v>0</v>
      </c>
      <c r="S521" s="472">
        <f t="shared" si="213"/>
        <v>0</v>
      </c>
      <c r="T521" s="472">
        <f t="shared" si="214"/>
        <v>0</v>
      </c>
      <c r="U521" s="23" t="s">
        <v>1132</v>
      </c>
      <c r="V521" s="36" t="s">
        <v>34</v>
      </c>
      <c r="W521" s="37" t="s">
        <v>104</v>
      </c>
      <c r="X521" s="37" t="s">
        <v>85</v>
      </c>
      <c r="Y521" s="37" t="s">
        <v>361</v>
      </c>
      <c r="Z521" s="37" t="s">
        <v>90</v>
      </c>
      <c r="AA521" s="12" t="b">
        <f t="shared" si="220"/>
        <v>1</v>
      </c>
      <c r="AB521" s="12" t="b">
        <f t="shared" si="221"/>
        <v>1</v>
      </c>
      <c r="AC521" s="12" t="b">
        <f t="shared" si="222"/>
        <v>1</v>
      </c>
      <c r="AD521" s="12" t="b">
        <f t="shared" si="223"/>
        <v>1</v>
      </c>
      <c r="AE521" s="12" t="b">
        <f t="shared" si="224"/>
        <v>1</v>
      </c>
      <c r="AF521" s="12" t="b">
        <f t="shared" si="225"/>
        <v>1</v>
      </c>
    </row>
    <row r="522" spans="1:32" s="12" customFormat="1" ht="15.75" customHeight="1">
      <c r="A522" s="285"/>
      <c r="B522" s="23" t="s">
        <v>1131</v>
      </c>
      <c r="C522" s="36" t="s">
        <v>34</v>
      </c>
      <c r="D522" s="37" t="s">
        <v>104</v>
      </c>
      <c r="E522" s="37" t="s">
        <v>85</v>
      </c>
      <c r="F522" s="37" t="s">
        <v>902</v>
      </c>
      <c r="G522" s="37" t="s">
        <v>90</v>
      </c>
      <c r="H522" s="183">
        <f t="shared" si="228"/>
        <v>600</v>
      </c>
      <c r="I522" s="183">
        <f t="shared" si="228"/>
        <v>600</v>
      </c>
      <c r="J522" s="183">
        <f t="shared" si="228"/>
        <v>600</v>
      </c>
      <c r="K522" s="183">
        <v>600</v>
      </c>
      <c r="L522" s="183">
        <v>600</v>
      </c>
      <c r="M522" s="183">
        <v>600</v>
      </c>
      <c r="N522" s="43">
        <f t="shared" si="217"/>
        <v>0</v>
      </c>
      <c r="O522" s="183">
        <v>600</v>
      </c>
      <c r="P522" s="183">
        <v>600</v>
      </c>
      <c r="Q522" s="183">
        <v>600</v>
      </c>
      <c r="R522" s="472">
        <f t="shared" si="212"/>
        <v>0</v>
      </c>
      <c r="S522" s="472">
        <f t="shared" si="213"/>
        <v>0</v>
      </c>
      <c r="T522" s="472">
        <f t="shared" si="214"/>
        <v>0</v>
      </c>
      <c r="U522" s="23" t="s">
        <v>1131</v>
      </c>
      <c r="V522" s="36" t="s">
        <v>34</v>
      </c>
      <c r="W522" s="37" t="s">
        <v>104</v>
      </c>
      <c r="X522" s="37" t="s">
        <v>85</v>
      </c>
      <c r="Y522" s="37" t="s">
        <v>902</v>
      </c>
      <c r="Z522" s="37" t="s">
        <v>90</v>
      </c>
      <c r="AA522" s="12" t="b">
        <f t="shared" si="220"/>
        <v>1</v>
      </c>
      <c r="AB522" s="12" t="b">
        <f t="shared" si="221"/>
        <v>1</v>
      </c>
      <c r="AC522" s="12" t="b">
        <f t="shared" si="222"/>
        <v>1</v>
      </c>
      <c r="AD522" s="12" t="b">
        <f t="shared" si="223"/>
        <v>1</v>
      </c>
      <c r="AE522" s="12" t="b">
        <f t="shared" si="224"/>
        <v>1</v>
      </c>
      <c r="AF522" s="12" t="b">
        <f t="shared" si="225"/>
        <v>1</v>
      </c>
    </row>
    <row r="523" spans="1:32" s="12" customFormat="1" ht="15.75" customHeight="1">
      <c r="A523" s="285"/>
      <c r="B523" s="23" t="s">
        <v>132</v>
      </c>
      <c r="C523" s="36" t="s">
        <v>34</v>
      </c>
      <c r="D523" s="37" t="s">
        <v>104</v>
      </c>
      <c r="E523" s="37" t="s">
        <v>85</v>
      </c>
      <c r="F523" s="37" t="s">
        <v>902</v>
      </c>
      <c r="G523" s="37" t="s">
        <v>171</v>
      </c>
      <c r="H523" s="183">
        <v>600</v>
      </c>
      <c r="I523" s="183">
        <v>600</v>
      </c>
      <c r="J523" s="183">
        <v>600</v>
      </c>
      <c r="K523" s="183">
        <v>600</v>
      </c>
      <c r="L523" s="183">
        <v>600</v>
      </c>
      <c r="M523" s="183">
        <v>600</v>
      </c>
      <c r="N523" s="43">
        <f t="shared" si="217"/>
        <v>0</v>
      </c>
      <c r="O523" s="183">
        <v>600</v>
      </c>
      <c r="P523" s="183">
        <v>600</v>
      </c>
      <c r="Q523" s="183">
        <v>600</v>
      </c>
      <c r="R523" s="472">
        <f t="shared" si="212"/>
        <v>0</v>
      </c>
      <c r="S523" s="472">
        <f t="shared" si="213"/>
        <v>0</v>
      </c>
      <c r="T523" s="472">
        <f t="shared" si="214"/>
        <v>0</v>
      </c>
      <c r="U523" s="23" t="s">
        <v>132</v>
      </c>
      <c r="V523" s="36" t="s">
        <v>34</v>
      </c>
      <c r="W523" s="37" t="s">
        <v>104</v>
      </c>
      <c r="X523" s="37" t="s">
        <v>85</v>
      </c>
      <c r="Y523" s="37" t="s">
        <v>902</v>
      </c>
      <c r="Z523" s="37" t="s">
        <v>171</v>
      </c>
      <c r="AA523" s="12" t="b">
        <f t="shared" si="220"/>
        <v>1</v>
      </c>
      <c r="AB523" s="12" t="b">
        <f t="shared" si="221"/>
        <v>1</v>
      </c>
      <c r="AC523" s="12" t="b">
        <f t="shared" si="222"/>
        <v>1</v>
      </c>
      <c r="AD523" s="12" t="b">
        <f t="shared" si="223"/>
        <v>1</v>
      </c>
      <c r="AE523" s="12" t="b">
        <f t="shared" si="224"/>
        <v>1</v>
      </c>
      <c r="AF523" s="12" t="b">
        <f t="shared" si="225"/>
        <v>1</v>
      </c>
    </row>
    <row r="524" spans="1:32" s="12" customFormat="1" ht="15.75" customHeight="1">
      <c r="A524" s="285"/>
      <c r="B524" s="23" t="s">
        <v>906</v>
      </c>
      <c r="C524" s="36" t="s">
        <v>34</v>
      </c>
      <c r="D524" s="37" t="s">
        <v>104</v>
      </c>
      <c r="E524" s="37" t="s">
        <v>85</v>
      </c>
      <c r="F524" s="37" t="s">
        <v>350</v>
      </c>
      <c r="G524" s="37" t="s">
        <v>90</v>
      </c>
      <c r="H524" s="183">
        <f>H525</f>
        <v>4693.91</v>
      </c>
      <c r="I524" s="183">
        <f>I525</f>
        <v>0</v>
      </c>
      <c r="J524" s="183">
        <f>J525</f>
        <v>0</v>
      </c>
      <c r="K524" s="183">
        <v>4693.91</v>
      </c>
      <c r="L524" s="183">
        <v>0</v>
      </c>
      <c r="M524" s="183">
        <v>0</v>
      </c>
      <c r="N524" s="43">
        <f t="shared" si="217"/>
        <v>0</v>
      </c>
      <c r="O524" s="183">
        <v>4693.91</v>
      </c>
      <c r="P524" s="183">
        <v>0</v>
      </c>
      <c r="Q524" s="183">
        <v>0</v>
      </c>
      <c r="R524" s="472">
        <f t="shared" si="212"/>
        <v>0</v>
      </c>
      <c r="S524" s="472">
        <f t="shared" si="213"/>
        <v>0</v>
      </c>
      <c r="T524" s="472">
        <f t="shared" si="214"/>
        <v>0</v>
      </c>
      <c r="U524" s="23" t="s">
        <v>906</v>
      </c>
      <c r="V524" s="36" t="s">
        <v>34</v>
      </c>
      <c r="W524" s="37" t="s">
        <v>104</v>
      </c>
      <c r="X524" s="37" t="s">
        <v>85</v>
      </c>
      <c r="Y524" s="37" t="s">
        <v>350</v>
      </c>
      <c r="Z524" s="37" t="s">
        <v>90</v>
      </c>
      <c r="AA524" s="12" t="b">
        <f t="shared" si="220"/>
        <v>1</v>
      </c>
      <c r="AB524" s="12" t="b">
        <f t="shared" si="221"/>
        <v>1</v>
      </c>
      <c r="AC524" s="12" t="b">
        <f t="shared" si="222"/>
        <v>1</v>
      </c>
      <c r="AD524" s="12" t="b">
        <f t="shared" si="223"/>
        <v>1</v>
      </c>
      <c r="AE524" s="12" t="b">
        <f t="shared" si="224"/>
        <v>1</v>
      </c>
      <c r="AF524" s="12" t="b">
        <f t="shared" si="225"/>
        <v>1</v>
      </c>
    </row>
    <row r="525" spans="1:32" s="12" customFormat="1" ht="15.75" customHeight="1">
      <c r="A525" s="285"/>
      <c r="B525" s="23" t="s">
        <v>959</v>
      </c>
      <c r="C525" s="36" t="s">
        <v>34</v>
      </c>
      <c r="D525" s="37" t="s">
        <v>104</v>
      </c>
      <c r="E525" s="37" t="s">
        <v>85</v>
      </c>
      <c r="F525" s="37" t="s">
        <v>901</v>
      </c>
      <c r="G525" s="37" t="s">
        <v>90</v>
      </c>
      <c r="H525" s="183">
        <f>SUM(H526:H526)</f>
        <v>4693.91</v>
      </c>
      <c r="I525" s="183">
        <f>SUM(I526:I526)</f>
        <v>0</v>
      </c>
      <c r="J525" s="183">
        <f>SUM(J526:J526)</f>
        <v>0</v>
      </c>
      <c r="K525" s="183">
        <v>4693.91</v>
      </c>
      <c r="L525" s="183">
        <v>0</v>
      </c>
      <c r="M525" s="183">
        <v>0</v>
      </c>
      <c r="N525" s="43">
        <f t="shared" si="217"/>
        <v>0</v>
      </c>
      <c r="O525" s="183">
        <v>4693.91</v>
      </c>
      <c r="P525" s="183">
        <v>0</v>
      </c>
      <c r="Q525" s="183">
        <v>0</v>
      </c>
      <c r="R525" s="472">
        <f t="shared" ref="R525:R553" si="229">H525-O525</f>
        <v>0</v>
      </c>
      <c r="S525" s="472">
        <f t="shared" ref="S525:S553" si="230">I525-P525</f>
        <v>0</v>
      </c>
      <c r="T525" s="472">
        <f t="shared" ref="T525:T553" si="231">J525-Q525</f>
        <v>0</v>
      </c>
      <c r="U525" s="23" t="s">
        <v>959</v>
      </c>
      <c r="V525" s="36" t="s">
        <v>34</v>
      </c>
      <c r="W525" s="37" t="s">
        <v>104</v>
      </c>
      <c r="X525" s="37" t="s">
        <v>85</v>
      </c>
      <c r="Y525" s="37" t="s">
        <v>901</v>
      </c>
      <c r="Z525" s="37" t="s">
        <v>90</v>
      </c>
      <c r="AA525" s="12" t="b">
        <f t="shared" si="220"/>
        <v>1</v>
      </c>
      <c r="AB525" s="12" t="b">
        <f t="shared" si="221"/>
        <v>1</v>
      </c>
      <c r="AC525" s="12" t="b">
        <f t="shared" si="222"/>
        <v>1</v>
      </c>
      <c r="AD525" s="12" t="b">
        <f t="shared" si="223"/>
        <v>1</v>
      </c>
      <c r="AE525" s="12" t="b">
        <f t="shared" si="224"/>
        <v>1</v>
      </c>
      <c r="AF525" s="12" t="b">
        <f t="shared" si="225"/>
        <v>1</v>
      </c>
    </row>
    <row r="526" spans="1:32" s="12" customFormat="1" ht="15.75" customHeight="1">
      <c r="A526" s="285"/>
      <c r="B526" s="23" t="s">
        <v>132</v>
      </c>
      <c r="C526" s="36" t="s">
        <v>34</v>
      </c>
      <c r="D526" s="37" t="s">
        <v>104</v>
      </c>
      <c r="E526" s="37" t="s">
        <v>85</v>
      </c>
      <c r="F526" s="37" t="s">
        <v>901</v>
      </c>
      <c r="G526" s="37" t="s">
        <v>171</v>
      </c>
      <c r="H526" s="183">
        <v>4693.91</v>
      </c>
      <c r="I526" s="183">
        <v>0</v>
      </c>
      <c r="J526" s="183">
        <v>0</v>
      </c>
      <c r="K526" s="183">
        <v>4693.91</v>
      </c>
      <c r="L526" s="183">
        <v>0</v>
      </c>
      <c r="M526" s="183">
        <v>0</v>
      </c>
      <c r="N526" s="43">
        <f t="shared" si="217"/>
        <v>0</v>
      </c>
      <c r="O526" s="183">
        <v>4693.91</v>
      </c>
      <c r="P526" s="183">
        <v>0</v>
      </c>
      <c r="Q526" s="183">
        <v>0</v>
      </c>
      <c r="R526" s="472">
        <f t="shared" si="229"/>
        <v>0</v>
      </c>
      <c r="S526" s="472">
        <f t="shared" si="230"/>
        <v>0</v>
      </c>
      <c r="T526" s="472">
        <f t="shared" si="231"/>
        <v>0</v>
      </c>
      <c r="U526" s="23" t="s">
        <v>132</v>
      </c>
      <c r="V526" s="36" t="s">
        <v>34</v>
      </c>
      <c r="W526" s="37" t="s">
        <v>104</v>
      </c>
      <c r="X526" s="37" t="s">
        <v>85</v>
      </c>
      <c r="Y526" s="37" t="s">
        <v>901</v>
      </c>
      <c r="Z526" s="37" t="s">
        <v>171</v>
      </c>
      <c r="AA526" s="12" t="b">
        <f t="shared" si="220"/>
        <v>1</v>
      </c>
      <c r="AB526" s="12" t="b">
        <f t="shared" si="221"/>
        <v>1</v>
      </c>
      <c r="AC526" s="12" t="b">
        <f t="shared" si="222"/>
        <v>1</v>
      </c>
      <c r="AD526" s="12" t="b">
        <f t="shared" si="223"/>
        <v>1</v>
      </c>
      <c r="AE526" s="12" t="b">
        <f t="shared" si="224"/>
        <v>1</v>
      </c>
      <c r="AF526" s="12" t="b">
        <f t="shared" si="225"/>
        <v>1</v>
      </c>
    </row>
    <row r="527" spans="1:32" s="12" customFormat="1" ht="15.75" customHeight="1">
      <c r="A527" s="285"/>
      <c r="B527" s="182" t="s">
        <v>905</v>
      </c>
      <c r="C527" s="36" t="s">
        <v>34</v>
      </c>
      <c r="D527" s="37" t="s">
        <v>104</v>
      </c>
      <c r="E527" s="37" t="s">
        <v>85</v>
      </c>
      <c r="F527" s="37" t="s">
        <v>903</v>
      </c>
      <c r="G527" s="37" t="s">
        <v>90</v>
      </c>
      <c r="H527" s="183">
        <f>H528</f>
        <v>0</v>
      </c>
      <c r="I527" s="183">
        <f t="shared" ref="I527:J527" si="232">I528</f>
        <v>0</v>
      </c>
      <c r="J527" s="183">
        <f t="shared" si="232"/>
        <v>0</v>
      </c>
      <c r="K527" s="183">
        <v>0</v>
      </c>
      <c r="L527" s="183">
        <v>23764</v>
      </c>
      <c r="M527" s="183">
        <v>0</v>
      </c>
      <c r="N527" s="43">
        <f t="shared" si="217"/>
        <v>0</v>
      </c>
      <c r="O527" s="183">
        <v>0</v>
      </c>
      <c r="P527" s="183">
        <v>23764</v>
      </c>
      <c r="Q527" s="183">
        <v>0</v>
      </c>
      <c r="R527" s="472">
        <f t="shared" si="229"/>
        <v>0</v>
      </c>
      <c r="S527" s="472">
        <f t="shared" si="230"/>
        <v>-23764</v>
      </c>
      <c r="T527" s="472">
        <f t="shared" si="231"/>
        <v>0</v>
      </c>
      <c r="U527" s="182" t="s">
        <v>905</v>
      </c>
      <c r="V527" s="36" t="s">
        <v>34</v>
      </c>
      <c r="W527" s="37" t="s">
        <v>104</v>
      </c>
      <c r="X527" s="37" t="s">
        <v>85</v>
      </c>
      <c r="Y527" s="37" t="s">
        <v>903</v>
      </c>
      <c r="Z527" s="37" t="s">
        <v>90</v>
      </c>
      <c r="AA527" s="12" t="b">
        <f t="shared" si="220"/>
        <v>1</v>
      </c>
      <c r="AB527" s="12" t="b">
        <f t="shared" si="221"/>
        <v>1</v>
      </c>
      <c r="AC527" s="12" t="b">
        <f t="shared" si="222"/>
        <v>1</v>
      </c>
      <c r="AD527" s="12" t="b">
        <f t="shared" si="223"/>
        <v>1</v>
      </c>
      <c r="AE527" s="12" t="b">
        <f t="shared" si="224"/>
        <v>1</v>
      </c>
      <c r="AF527" s="12" t="b">
        <f t="shared" si="225"/>
        <v>1</v>
      </c>
    </row>
    <row r="528" spans="1:32" s="12" customFormat="1" ht="15.75" customHeight="1">
      <c r="A528" s="285"/>
      <c r="B528" s="182" t="s">
        <v>1079</v>
      </c>
      <c r="C528" s="36" t="s">
        <v>34</v>
      </c>
      <c r="D528" s="37" t="s">
        <v>104</v>
      </c>
      <c r="E528" s="37" t="s">
        <v>85</v>
      </c>
      <c r="F528" s="37" t="s">
        <v>1078</v>
      </c>
      <c r="G528" s="37" t="s">
        <v>90</v>
      </c>
      <c r="H528" s="183">
        <f>H529</f>
        <v>0</v>
      </c>
      <c r="I528" s="183">
        <f>I529</f>
        <v>0</v>
      </c>
      <c r="J528" s="183">
        <f>J529</f>
        <v>0</v>
      </c>
      <c r="K528" s="183">
        <v>0</v>
      </c>
      <c r="L528" s="183">
        <v>23764</v>
      </c>
      <c r="M528" s="183">
        <v>0</v>
      </c>
      <c r="N528" s="43">
        <f t="shared" si="217"/>
        <v>0</v>
      </c>
      <c r="O528" s="183">
        <v>0</v>
      </c>
      <c r="P528" s="183">
        <v>23764</v>
      </c>
      <c r="Q528" s="183">
        <v>0</v>
      </c>
      <c r="R528" s="472">
        <f t="shared" si="229"/>
        <v>0</v>
      </c>
      <c r="S528" s="472">
        <f t="shared" si="230"/>
        <v>-23764</v>
      </c>
      <c r="T528" s="472">
        <f t="shared" si="231"/>
        <v>0</v>
      </c>
      <c r="U528" s="182" t="s">
        <v>1079</v>
      </c>
      <c r="V528" s="36" t="s">
        <v>34</v>
      </c>
      <c r="W528" s="37" t="s">
        <v>104</v>
      </c>
      <c r="X528" s="37" t="s">
        <v>85</v>
      </c>
      <c r="Y528" s="37" t="s">
        <v>1078</v>
      </c>
      <c r="Z528" s="37" t="s">
        <v>90</v>
      </c>
      <c r="AA528" s="12" t="b">
        <f t="shared" si="220"/>
        <v>1</v>
      </c>
      <c r="AB528" s="12" t="b">
        <f t="shared" si="221"/>
        <v>1</v>
      </c>
      <c r="AC528" s="12" t="b">
        <f t="shared" si="222"/>
        <v>1</v>
      </c>
      <c r="AD528" s="12" t="b">
        <f t="shared" si="223"/>
        <v>1</v>
      </c>
      <c r="AE528" s="12" t="b">
        <f t="shared" si="224"/>
        <v>1</v>
      </c>
      <c r="AF528" s="12" t="b">
        <f t="shared" si="225"/>
        <v>1</v>
      </c>
    </row>
    <row r="529" spans="1:32" s="12" customFormat="1" ht="15.75" customHeight="1">
      <c r="A529" s="285"/>
      <c r="B529" s="182" t="s">
        <v>133</v>
      </c>
      <c r="C529" s="36" t="s">
        <v>34</v>
      </c>
      <c r="D529" s="37" t="s">
        <v>104</v>
      </c>
      <c r="E529" s="37" t="s">
        <v>85</v>
      </c>
      <c r="F529" s="37" t="s">
        <v>1078</v>
      </c>
      <c r="G529" s="37" t="s">
        <v>19</v>
      </c>
      <c r="H529" s="183">
        <v>0</v>
      </c>
      <c r="I529" s="183">
        <f>23764-22575.8-1188.2</f>
        <v>0</v>
      </c>
      <c r="J529" s="183">
        <v>0</v>
      </c>
      <c r="K529" s="183">
        <v>0</v>
      </c>
      <c r="L529" s="183">
        <v>23764</v>
      </c>
      <c r="M529" s="183">
        <v>0</v>
      </c>
      <c r="N529" s="43">
        <f t="shared" si="217"/>
        <v>0</v>
      </c>
      <c r="O529" s="183">
        <v>0</v>
      </c>
      <c r="P529" s="183">
        <v>23764</v>
      </c>
      <c r="Q529" s="183">
        <v>0</v>
      </c>
      <c r="R529" s="472">
        <f t="shared" si="229"/>
        <v>0</v>
      </c>
      <c r="S529" s="472">
        <f t="shared" si="230"/>
        <v>-23764</v>
      </c>
      <c r="T529" s="472">
        <f t="shared" si="231"/>
        <v>0</v>
      </c>
      <c r="U529" s="182" t="s">
        <v>133</v>
      </c>
      <c r="V529" s="36" t="s">
        <v>34</v>
      </c>
      <c r="W529" s="37" t="s">
        <v>104</v>
      </c>
      <c r="X529" s="37" t="s">
        <v>85</v>
      </c>
      <c r="Y529" s="37" t="s">
        <v>1078</v>
      </c>
      <c r="Z529" s="37" t="s">
        <v>19</v>
      </c>
      <c r="AA529" s="12" t="b">
        <f t="shared" si="220"/>
        <v>1</v>
      </c>
      <c r="AB529" s="12" t="b">
        <f t="shared" si="221"/>
        <v>1</v>
      </c>
      <c r="AC529" s="12" t="b">
        <f t="shared" si="222"/>
        <v>1</v>
      </c>
      <c r="AD529" s="12" t="b">
        <f t="shared" si="223"/>
        <v>1</v>
      </c>
      <c r="AE529" s="12" t="b">
        <f t="shared" si="224"/>
        <v>1</v>
      </c>
      <c r="AF529" s="12" t="b">
        <f t="shared" si="225"/>
        <v>1</v>
      </c>
    </row>
    <row r="530" spans="1:32" s="12" customFormat="1" ht="15.75" customHeight="1">
      <c r="A530" s="285"/>
      <c r="B530" s="182" t="s">
        <v>667</v>
      </c>
      <c r="C530" s="36" t="s">
        <v>34</v>
      </c>
      <c r="D530" s="37" t="s">
        <v>104</v>
      </c>
      <c r="E530" s="37" t="s">
        <v>85</v>
      </c>
      <c r="F530" s="37" t="s">
        <v>255</v>
      </c>
      <c r="G530" s="37" t="s">
        <v>90</v>
      </c>
      <c r="H530" s="183">
        <f t="shared" ref="H530:J532" si="233">H531</f>
        <v>7549.4600000000009</v>
      </c>
      <c r="I530" s="183">
        <f t="shared" si="233"/>
        <v>7549.4600000000009</v>
      </c>
      <c r="J530" s="183">
        <f t="shared" si="233"/>
        <v>7549.4600000000009</v>
      </c>
      <c r="K530" s="183">
        <v>7549.4600000000009</v>
      </c>
      <c r="L530" s="183">
        <v>7549.4600000000009</v>
      </c>
      <c r="M530" s="183">
        <v>7549.4600000000009</v>
      </c>
      <c r="N530" s="43">
        <f t="shared" si="217"/>
        <v>0</v>
      </c>
      <c r="O530" s="183">
        <v>7549.4600000000009</v>
      </c>
      <c r="P530" s="183">
        <v>7549.4600000000009</v>
      </c>
      <c r="Q530" s="183">
        <v>7549.4600000000009</v>
      </c>
      <c r="R530" s="472">
        <f t="shared" si="229"/>
        <v>0</v>
      </c>
      <c r="S530" s="472">
        <f t="shared" si="230"/>
        <v>0</v>
      </c>
      <c r="T530" s="472">
        <f t="shared" si="231"/>
        <v>0</v>
      </c>
      <c r="U530" s="182" t="s">
        <v>667</v>
      </c>
      <c r="V530" s="36" t="s">
        <v>34</v>
      </c>
      <c r="W530" s="37" t="s">
        <v>104</v>
      </c>
      <c r="X530" s="37" t="s">
        <v>85</v>
      </c>
      <c r="Y530" s="37" t="s">
        <v>255</v>
      </c>
      <c r="Z530" s="37" t="s">
        <v>90</v>
      </c>
      <c r="AA530" s="12" t="b">
        <f t="shared" si="220"/>
        <v>1</v>
      </c>
      <c r="AB530" s="12" t="b">
        <f t="shared" si="221"/>
        <v>1</v>
      </c>
      <c r="AC530" s="12" t="b">
        <f t="shared" si="222"/>
        <v>1</v>
      </c>
      <c r="AD530" s="12" t="b">
        <f t="shared" si="223"/>
        <v>1</v>
      </c>
      <c r="AE530" s="12" t="b">
        <f t="shared" si="224"/>
        <v>1</v>
      </c>
      <c r="AF530" s="12" t="b">
        <f t="shared" si="225"/>
        <v>1</v>
      </c>
    </row>
    <row r="531" spans="1:32" s="12" customFormat="1" ht="15.75" customHeight="1">
      <c r="A531" s="285"/>
      <c r="B531" s="182" t="s">
        <v>814</v>
      </c>
      <c r="C531" s="36" t="s">
        <v>34</v>
      </c>
      <c r="D531" s="37" t="s">
        <v>104</v>
      </c>
      <c r="E531" s="37" t="s">
        <v>85</v>
      </c>
      <c r="F531" s="37" t="s">
        <v>256</v>
      </c>
      <c r="G531" s="37" t="s">
        <v>90</v>
      </c>
      <c r="H531" s="183">
        <f t="shared" si="233"/>
        <v>7549.4600000000009</v>
      </c>
      <c r="I531" s="183">
        <f t="shared" si="233"/>
        <v>7549.4600000000009</v>
      </c>
      <c r="J531" s="183">
        <f t="shared" si="233"/>
        <v>7549.4600000000009</v>
      </c>
      <c r="K531" s="183">
        <v>7549.4600000000009</v>
      </c>
      <c r="L531" s="183">
        <v>7549.4600000000009</v>
      </c>
      <c r="M531" s="183">
        <v>7549.4600000000009</v>
      </c>
      <c r="N531" s="43">
        <f t="shared" si="217"/>
        <v>0</v>
      </c>
      <c r="O531" s="183">
        <v>7549.4600000000009</v>
      </c>
      <c r="P531" s="183">
        <v>7549.4600000000009</v>
      </c>
      <c r="Q531" s="183">
        <v>7549.4600000000009</v>
      </c>
      <c r="R531" s="472">
        <f t="shared" si="229"/>
        <v>0</v>
      </c>
      <c r="S531" s="472">
        <f t="shared" si="230"/>
        <v>0</v>
      </c>
      <c r="T531" s="472">
        <f t="shared" si="231"/>
        <v>0</v>
      </c>
      <c r="U531" s="182" t="s">
        <v>814</v>
      </c>
      <c r="V531" s="36" t="s">
        <v>34</v>
      </c>
      <c r="W531" s="37" t="s">
        <v>104</v>
      </c>
      <c r="X531" s="37" t="s">
        <v>85</v>
      </c>
      <c r="Y531" s="37" t="s">
        <v>256</v>
      </c>
      <c r="Z531" s="37" t="s">
        <v>90</v>
      </c>
      <c r="AA531" s="12" t="b">
        <f t="shared" si="220"/>
        <v>1</v>
      </c>
      <c r="AB531" s="12" t="b">
        <f t="shared" si="221"/>
        <v>1</v>
      </c>
      <c r="AC531" s="12" t="b">
        <f t="shared" si="222"/>
        <v>1</v>
      </c>
      <c r="AD531" s="12" t="b">
        <f t="shared" si="223"/>
        <v>1</v>
      </c>
      <c r="AE531" s="12" t="b">
        <f t="shared" si="224"/>
        <v>1</v>
      </c>
      <c r="AF531" s="12" t="b">
        <f t="shared" si="225"/>
        <v>1</v>
      </c>
    </row>
    <row r="532" spans="1:32" s="12" customFormat="1" ht="15.75" customHeight="1">
      <c r="A532" s="285"/>
      <c r="B532" s="182" t="s">
        <v>1023</v>
      </c>
      <c r="C532" s="36" t="s">
        <v>34</v>
      </c>
      <c r="D532" s="37" t="s">
        <v>104</v>
      </c>
      <c r="E532" s="37" t="s">
        <v>85</v>
      </c>
      <c r="F532" s="37" t="s">
        <v>1022</v>
      </c>
      <c r="G532" s="37" t="s">
        <v>90</v>
      </c>
      <c r="H532" s="183">
        <f t="shared" si="233"/>
        <v>7549.4600000000009</v>
      </c>
      <c r="I532" s="183">
        <f t="shared" si="233"/>
        <v>7549.4600000000009</v>
      </c>
      <c r="J532" s="183">
        <f t="shared" si="233"/>
        <v>7549.4600000000009</v>
      </c>
      <c r="K532" s="183">
        <v>7549.4600000000009</v>
      </c>
      <c r="L532" s="183">
        <v>7549.4600000000009</v>
      </c>
      <c r="M532" s="183">
        <v>7549.4600000000009</v>
      </c>
      <c r="N532" s="43">
        <f t="shared" si="217"/>
        <v>0</v>
      </c>
      <c r="O532" s="183">
        <v>7549.4600000000009</v>
      </c>
      <c r="P532" s="183">
        <v>7549.4600000000009</v>
      </c>
      <c r="Q532" s="183">
        <v>7549.4600000000009</v>
      </c>
      <c r="R532" s="472">
        <f t="shared" si="229"/>
        <v>0</v>
      </c>
      <c r="S532" s="472">
        <f t="shared" si="230"/>
        <v>0</v>
      </c>
      <c r="T532" s="472">
        <f t="shared" si="231"/>
        <v>0</v>
      </c>
      <c r="U532" s="182" t="s">
        <v>1023</v>
      </c>
      <c r="V532" s="36" t="s">
        <v>34</v>
      </c>
      <c r="W532" s="37" t="s">
        <v>104</v>
      </c>
      <c r="X532" s="37" t="s">
        <v>85</v>
      </c>
      <c r="Y532" s="37" t="s">
        <v>1022</v>
      </c>
      <c r="Z532" s="37" t="s">
        <v>90</v>
      </c>
      <c r="AA532" s="12" t="b">
        <f t="shared" si="220"/>
        <v>1</v>
      </c>
      <c r="AB532" s="12" t="b">
        <f t="shared" si="221"/>
        <v>1</v>
      </c>
      <c r="AC532" s="12" t="b">
        <f t="shared" si="222"/>
        <v>1</v>
      </c>
      <c r="AD532" s="12" t="b">
        <f t="shared" si="223"/>
        <v>1</v>
      </c>
      <c r="AE532" s="12" t="b">
        <f t="shared" si="224"/>
        <v>1</v>
      </c>
      <c r="AF532" s="12" t="b">
        <f t="shared" si="225"/>
        <v>1</v>
      </c>
    </row>
    <row r="533" spans="1:32" s="12" customFormat="1" ht="15.75" customHeight="1">
      <c r="A533" s="285"/>
      <c r="B533" s="23" t="s">
        <v>1028</v>
      </c>
      <c r="C533" s="36" t="s">
        <v>34</v>
      </c>
      <c r="D533" s="37" t="s">
        <v>104</v>
      </c>
      <c r="E533" s="37" t="s">
        <v>85</v>
      </c>
      <c r="F533" s="37" t="s">
        <v>1027</v>
      </c>
      <c r="G533" s="37" t="s">
        <v>90</v>
      </c>
      <c r="H533" s="183">
        <f>H534+H535</f>
        <v>7549.4600000000009</v>
      </c>
      <c r="I533" s="183">
        <f>I534+I535</f>
        <v>7549.4600000000009</v>
      </c>
      <c r="J533" s="183">
        <f>J534+J535</f>
        <v>7549.4600000000009</v>
      </c>
      <c r="K533" s="183">
        <v>7549.4600000000009</v>
      </c>
      <c r="L533" s="183">
        <v>7549.4600000000009</v>
      </c>
      <c r="M533" s="183">
        <v>7549.4600000000009</v>
      </c>
      <c r="N533" s="43">
        <f t="shared" si="217"/>
        <v>0</v>
      </c>
      <c r="O533" s="183">
        <v>7549.4600000000009</v>
      </c>
      <c r="P533" s="183">
        <v>7549.4600000000009</v>
      </c>
      <c r="Q533" s="183">
        <v>7549.4600000000009</v>
      </c>
      <c r="R533" s="472">
        <f t="shared" si="229"/>
        <v>0</v>
      </c>
      <c r="S533" s="472">
        <f t="shared" si="230"/>
        <v>0</v>
      </c>
      <c r="T533" s="472">
        <f t="shared" si="231"/>
        <v>0</v>
      </c>
      <c r="U533" s="23" t="s">
        <v>1028</v>
      </c>
      <c r="V533" s="36" t="s">
        <v>34</v>
      </c>
      <c r="W533" s="37" t="s">
        <v>104</v>
      </c>
      <c r="X533" s="37" t="s">
        <v>85</v>
      </c>
      <c r="Y533" s="37" t="s">
        <v>1027</v>
      </c>
      <c r="Z533" s="37" t="s">
        <v>90</v>
      </c>
      <c r="AA533" s="12" t="b">
        <f t="shared" si="220"/>
        <v>1</v>
      </c>
      <c r="AB533" s="12" t="b">
        <f t="shared" si="221"/>
        <v>1</v>
      </c>
      <c r="AC533" s="12" t="b">
        <f t="shared" si="222"/>
        <v>1</v>
      </c>
      <c r="AD533" s="12" t="b">
        <f t="shared" si="223"/>
        <v>1</v>
      </c>
      <c r="AE533" s="12" t="b">
        <f t="shared" si="224"/>
        <v>1</v>
      </c>
      <c r="AF533" s="12" t="b">
        <f t="shared" si="225"/>
        <v>1</v>
      </c>
    </row>
    <row r="534" spans="1:32" s="12" customFormat="1" ht="15.75" customHeight="1">
      <c r="A534" s="285"/>
      <c r="B534" s="23" t="s">
        <v>132</v>
      </c>
      <c r="C534" s="36" t="s">
        <v>34</v>
      </c>
      <c r="D534" s="37" t="s">
        <v>104</v>
      </c>
      <c r="E534" s="37" t="s">
        <v>85</v>
      </c>
      <c r="F534" s="37" t="s">
        <v>1027</v>
      </c>
      <c r="G534" s="37" t="s">
        <v>171</v>
      </c>
      <c r="H534" s="183">
        <v>5988.81</v>
      </c>
      <c r="I534" s="183">
        <v>5988.81</v>
      </c>
      <c r="J534" s="183">
        <v>5988.81</v>
      </c>
      <c r="K534" s="183">
        <v>5988.81</v>
      </c>
      <c r="L534" s="183">
        <v>5988.81</v>
      </c>
      <c r="M534" s="183">
        <v>5988.81</v>
      </c>
      <c r="N534" s="43">
        <f t="shared" si="217"/>
        <v>0</v>
      </c>
      <c r="O534" s="183">
        <v>5988.81</v>
      </c>
      <c r="P534" s="183">
        <v>5988.81</v>
      </c>
      <c r="Q534" s="183">
        <v>5988.81</v>
      </c>
      <c r="R534" s="472">
        <f t="shared" si="229"/>
        <v>0</v>
      </c>
      <c r="S534" s="472">
        <f t="shared" si="230"/>
        <v>0</v>
      </c>
      <c r="T534" s="472">
        <f t="shared" si="231"/>
        <v>0</v>
      </c>
      <c r="U534" s="23" t="s">
        <v>132</v>
      </c>
      <c r="V534" s="36" t="s">
        <v>34</v>
      </c>
      <c r="W534" s="37" t="s">
        <v>104</v>
      </c>
      <c r="X534" s="37" t="s">
        <v>85</v>
      </c>
      <c r="Y534" s="37" t="s">
        <v>1027</v>
      </c>
      <c r="Z534" s="37" t="s">
        <v>171</v>
      </c>
      <c r="AA534" s="12" t="b">
        <f t="shared" si="220"/>
        <v>1</v>
      </c>
      <c r="AB534" s="12" t="b">
        <f t="shared" si="221"/>
        <v>1</v>
      </c>
      <c r="AC534" s="12" t="b">
        <f t="shared" si="222"/>
        <v>1</v>
      </c>
      <c r="AD534" s="12" t="b">
        <f t="shared" si="223"/>
        <v>1</v>
      </c>
      <c r="AE534" s="12" t="b">
        <f t="shared" si="224"/>
        <v>1</v>
      </c>
      <c r="AF534" s="12" t="b">
        <f t="shared" si="225"/>
        <v>1</v>
      </c>
    </row>
    <row r="535" spans="1:32" s="12" customFormat="1" ht="15.75" customHeight="1">
      <c r="A535" s="285"/>
      <c r="B535" s="23" t="s">
        <v>133</v>
      </c>
      <c r="C535" s="36" t="s">
        <v>34</v>
      </c>
      <c r="D535" s="37" t="s">
        <v>104</v>
      </c>
      <c r="E535" s="37" t="s">
        <v>85</v>
      </c>
      <c r="F535" s="37" t="s">
        <v>1027</v>
      </c>
      <c r="G535" s="37" t="s">
        <v>19</v>
      </c>
      <c r="H535" s="183">
        <v>1560.65</v>
      </c>
      <c r="I535" s="183">
        <v>1560.65</v>
      </c>
      <c r="J535" s="183">
        <v>1560.65</v>
      </c>
      <c r="K535" s="183">
        <v>1560.65</v>
      </c>
      <c r="L535" s="183">
        <v>1560.65</v>
      </c>
      <c r="M535" s="183">
        <v>1560.65</v>
      </c>
      <c r="N535" s="43">
        <f t="shared" si="217"/>
        <v>0</v>
      </c>
      <c r="O535" s="183">
        <v>1560.65</v>
      </c>
      <c r="P535" s="183">
        <v>1560.65</v>
      </c>
      <c r="Q535" s="183">
        <v>1560.65</v>
      </c>
      <c r="R535" s="472">
        <f t="shared" si="229"/>
        <v>0</v>
      </c>
      <c r="S535" s="472">
        <f t="shared" si="230"/>
        <v>0</v>
      </c>
      <c r="T535" s="472">
        <f t="shared" si="231"/>
        <v>0</v>
      </c>
      <c r="U535" s="23" t="s">
        <v>133</v>
      </c>
      <c r="V535" s="36" t="s">
        <v>34</v>
      </c>
      <c r="W535" s="37" t="s">
        <v>104</v>
      </c>
      <c r="X535" s="37" t="s">
        <v>85</v>
      </c>
      <c r="Y535" s="37" t="s">
        <v>1027</v>
      </c>
      <c r="Z535" s="37" t="s">
        <v>19</v>
      </c>
      <c r="AA535" s="12" t="b">
        <f t="shared" si="220"/>
        <v>1</v>
      </c>
      <c r="AB535" s="12" t="b">
        <f t="shared" si="221"/>
        <v>1</v>
      </c>
      <c r="AC535" s="12" t="b">
        <f t="shared" si="222"/>
        <v>1</v>
      </c>
      <c r="AD535" s="12" t="b">
        <f t="shared" si="223"/>
        <v>1</v>
      </c>
      <c r="AE535" s="12" t="b">
        <f t="shared" si="224"/>
        <v>1</v>
      </c>
      <c r="AF535" s="12" t="b">
        <f t="shared" si="225"/>
        <v>1</v>
      </c>
    </row>
    <row r="536" spans="1:32" s="12" customFormat="1" ht="15.75" customHeight="1">
      <c r="A536" s="285"/>
      <c r="B536" s="182" t="s">
        <v>1165</v>
      </c>
      <c r="C536" s="36" t="s">
        <v>34</v>
      </c>
      <c r="D536" s="37" t="s">
        <v>104</v>
      </c>
      <c r="E536" s="37" t="s">
        <v>85</v>
      </c>
      <c r="F536" s="37" t="s">
        <v>323</v>
      </c>
      <c r="G536" s="37" t="s">
        <v>90</v>
      </c>
      <c r="H536" s="183">
        <f t="shared" ref="H536:J538" si="234">H537</f>
        <v>452.17</v>
      </c>
      <c r="I536" s="183">
        <f t="shared" si="234"/>
        <v>452.17</v>
      </c>
      <c r="J536" s="183">
        <f t="shared" si="234"/>
        <v>452.17</v>
      </c>
      <c r="K536" s="183">
        <v>452.17</v>
      </c>
      <c r="L536" s="183">
        <v>452.17</v>
      </c>
      <c r="M536" s="183">
        <v>452.17</v>
      </c>
      <c r="N536" s="43">
        <f t="shared" si="217"/>
        <v>0</v>
      </c>
      <c r="O536" s="183">
        <v>452.17</v>
      </c>
      <c r="P536" s="183">
        <v>452.17</v>
      </c>
      <c r="Q536" s="183">
        <v>452.17</v>
      </c>
      <c r="R536" s="472">
        <f t="shared" si="229"/>
        <v>0</v>
      </c>
      <c r="S536" s="472">
        <f t="shared" si="230"/>
        <v>0</v>
      </c>
      <c r="T536" s="472">
        <f t="shared" si="231"/>
        <v>0</v>
      </c>
      <c r="U536" s="182" t="s">
        <v>1165</v>
      </c>
      <c r="V536" s="36" t="s">
        <v>34</v>
      </c>
      <c r="W536" s="37" t="s">
        <v>104</v>
      </c>
      <c r="X536" s="37" t="s">
        <v>85</v>
      </c>
      <c r="Y536" s="37" t="s">
        <v>323</v>
      </c>
      <c r="Z536" s="37" t="s">
        <v>90</v>
      </c>
      <c r="AA536" s="12" t="b">
        <f t="shared" si="220"/>
        <v>1</v>
      </c>
      <c r="AB536" s="12" t="b">
        <f t="shared" si="221"/>
        <v>1</v>
      </c>
      <c r="AC536" s="12" t="b">
        <f t="shared" si="222"/>
        <v>1</v>
      </c>
      <c r="AD536" s="12" t="b">
        <f t="shared" si="223"/>
        <v>1</v>
      </c>
      <c r="AE536" s="12" t="b">
        <f t="shared" si="224"/>
        <v>1</v>
      </c>
      <c r="AF536" s="12" t="b">
        <f t="shared" si="225"/>
        <v>1</v>
      </c>
    </row>
    <row r="537" spans="1:32" s="12" customFormat="1" ht="15.75" customHeight="1">
      <c r="A537" s="285"/>
      <c r="B537" s="182" t="s">
        <v>1214</v>
      </c>
      <c r="C537" s="36" t="s">
        <v>34</v>
      </c>
      <c r="D537" s="37" t="s">
        <v>104</v>
      </c>
      <c r="E537" s="37" t="s">
        <v>85</v>
      </c>
      <c r="F537" s="37" t="s">
        <v>324</v>
      </c>
      <c r="G537" s="37" t="s">
        <v>90</v>
      </c>
      <c r="H537" s="183">
        <f t="shared" si="234"/>
        <v>452.17</v>
      </c>
      <c r="I537" s="183">
        <f t="shared" si="234"/>
        <v>452.17</v>
      </c>
      <c r="J537" s="183">
        <f t="shared" si="234"/>
        <v>452.17</v>
      </c>
      <c r="K537" s="183">
        <v>452.17</v>
      </c>
      <c r="L537" s="183">
        <v>452.17</v>
      </c>
      <c r="M537" s="183">
        <v>452.17</v>
      </c>
      <c r="N537" s="43">
        <f t="shared" si="217"/>
        <v>0</v>
      </c>
      <c r="O537" s="183">
        <v>452.17</v>
      </c>
      <c r="P537" s="183">
        <v>452.17</v>
      </c>
      <c r="Q537" s="183">
        <v>452.17</v>
      </c>
      <c r="R537" s="472">
        <f t="shared" si="229"/>
        <v>0</v>
      </c>
      <c r="S537" s="472">
        <f t="shared" si="230"/>
        <v>0</v>
      </c>
      <c r="T537" s="472">
        <f t="shared" si="231"/>
        <v>0</v>
      </c>
      <c r="U537" s="495" t="s">
        <v>1214</v>
      </c>
      <c r="V537" s="36" t="s">
        <v>34</v>
      </c>
      <c r="W537" s="37" t="s">
        <v>104</v>
      </c>
      <c r="X537" s="37" t="s">
        <v>85</v>
      </c>
      <c r="Y537" s="37" t="s">
        <v>324</v>
      </c>
      <c r="Z537" s="37" t="s">
        <v>90</v>
      </c>
      <c r="AA537" s="12" t="b">
        <f t="shared" si="220"/>
        <v>1</v>
      </c>
      <c r="AB537" s="12" t="b">
        <f t="shared" si="221"/>
        <v>1</v>
      </c>
      <c r="AC537" s="12" t="b">
        <f t="shared" si="222"/>
        <v>1</v>
      </c>
      <c r="AD537" s="12" t="b">
        <f t="shared" si="223"/>
        <v>1</v>
      </c>
      <c r="AE537" s="12" t="b">
        <f t="shared" si="224"/>
        <v>1</v>
      </c>
      <c r="AF537" s="12" t="b">
        <f t="shared" si="225"/>
        <v>1</v>
      </c>
    </row>
    <row r="538" spans="1:32" s="12" customFormat="1" ht="15.75" customHeight="1">
      <c r="A538" s="285"/>
      <c r="B538" s="182" t="s">
        <v>573</v>
      </c>
      <c r="C538" s="36" t="s">
        <v>34</v>
      </c>
      <c r="D538" s="37" t="s">
        <v>104</v>
      </c>
      <c r="E538" s="37" t="s">
        <v>85</v>
      </c>
      <c r="F538" s="37" t="s">
        <v>526</v>
      </c>
      <c r="G538" s="37" t="s">
        <v>90</v>
      </c>
      <c r="H538" s="183">
        <f t="shared" si="234"/>
        <v>452.17</v>
      </c>
      <c r="I538" s="183">
        <f t="shared" si="234"/>
        <v>452.17</v>
      </c>
      <c r="J538" s="183">
        <f t="shared" si="234"/>
        <v>452.17</v>
      </c>
      <c r="K538" s="183">
        <v>452.17</v>
      </c>
      <c r="L538" s="183">
        <v>452.17</v>
      </c>
      <c r="M538" s="183">
        <v>452.17</v>
      </c>
      <c r="N538" s="43">
        <f t="shared" si="217"/>
        <v>0</v>
      </c>
      <c r="O538" s="183">
        <v>452.17</v>
      </c>
      <c r="P538" s="183">
        <v>452.17</v>
      </c>
      <c r="Q538" s="183">
        <v>452.17</v>
      </c>
      <c r="R538" s="472">
        <f t="shared" si="229"/>
        <v>0</v>
      </c>
      <c r="S538" s="472">
        <f t="shared" si="230"/>
        <v>0</v>
      </c>
      <c r="T538" s="472">
        <f t="shared" si="231"/>
        <v>0</v>
      </c>
      <c r="U538" s="182" t="s">
        <v>573</v>
      </c>
      <c r="V538" s="36" t="s">
        <v>34</v>
      </c>
      <c r="W538" s="37" t="s">
        <v>104</v>
      </c>
      <c r="X538" s="37" t="s">
        <v>85</v>
      </c>
      <c r="Y538" s="37" t="s">
        <v>526</v>
      </c>
      <c r="Z538" s="37" t="s">
        <v>90</v>
      </c>
      <c r="AA538" s="12" t="b">
        <f t="shared" si="220"/>
        <v>1</v>
      </c>
      <c r="AB538" s="12" t="b">
        <f t="shared" si="221"/>
        <v>1</v>
      </c>
      <c r="AC538" s="12" t="b">
        <f t="shared" si="222"/>
        <v>1</v>
      </c>
      <c r="AD538" s="12" t="b">
        <f t="shared" si="223"/>
        <v>1</v>
      </c>
      <c r="AE538" s="12" t="b">
        <f t="shared" si="224"/>
        <v>1</v>
      </c>
      <c r="AF538" s="12" t="b">
        <f t="shared" si="225"/>
        <v>1</v>
      </c>
    </row>
    <row r="539" spans="1:32" s="12" customFormat="1" ht="15.75" customHeight="1">
      <c r="A539" s="285"/>
      <c r="B539" s="182" t="s">
        <v>202</v>
      </c>
      <c r="C539" s="36" t="s">
        <v>34</v>
      </c>
      <c r="D539" s="37" t="s">
        <v>104</v>
      </c>
      <c r="E539" s="37" t="s">
        <v>85</v>
      </c>
      <c r="F539" s="37" t="s">
        <v>527</v>
      </c>
      <c r="G539" s="37" t="s">
        <v>90</v>
      </c>
      <c r="H539" s="183">
        <f>SUM(H540:H541)</f>
        <v>452.17</v>
      </c>
      <c r="I539" s="183">
        <f>SUM(I540:I541)</f>
        <v>452.17</v>
      </c>
      <c r="J539" s="183">
        <f>SUM(J540:J541)</f>
        <v>452.17</v>
      </c>
      <c r="K539" s="183">
        <v>452.17</v>
      </c>
      <c r="L539" s="183">
        <v>452.17</v>
      </c>
      <c r="M539" s="183">
        <v>452.17</v>
      </c>
      <c r="N539" s="43">
        <f t="shared" si="217"/>
        <v>0</v>
      </c>
      <c r="O539" s="183">
        <v>452.17</v>
      </c>
      <c r="P539" s="183">
        <v>452.17</v>
      </c>
      <c r="Q539" s="183">
        <v>452.17</v>
      </c>
      <c r="R539" s="472">
        <f t="shared" si="229"/>
        <v>0</v>
      </c>
      <c r="S539" s="472">
        <f t="shared" si="230"/>
        <v>0</v>
      </c>
      <c r="T539" s="472">
        <f t="shared" si="231"/>
        <v>0</v>
      </c>
      <c r="U539" s="182" t="s">
        <v>202</v>
      </c>
      <c r="V539" s="36" t="s">
        <v>34</v>
      </c>
      <c r="W539" s="37" t="s">
        <v>104</v>
      </c>
      <c r="X539" s="37" t="s">
        <v>85</v>
      </c>
      <c r="Y539" s="37" t="s">
        <v>527</v>
      </c>
      <c r="Z539" s="37" t="s">
        <v>90</v>
      </c>
      <c r="AA539" s="12" t="b">
        <f t="shared" si="220"/>
        <v>1</v>
      </c>
      <c r="AB539" s="12" t="b">
        <f t="shared" si="221"/>
        <v>1</v>
      </c>
      <c r="AC539" s="12" t="b">
        <f t="shared" si="222"/>
        <v>1</v>
      </c>
      <c r="AD539" s="12" t="b">
        <f t="shared" si="223"/>
        <v>1</v>
      </c>
      <c r="AE539" s="12" t="b">
        <f t="shared" si="224"/>
        <v>1</v>
      </c>
      <c r="AF539" s="12" t="b">
        <f t="shared" si="225"/>
        <v>1</v>
      </c>
    </row>
    <row r="540" spans="1:32" s="12" customFormat="1" ht="15.75" customHeight="1">
      <c r="A540" s="285"/>
      <c r="B540" s="23" t="s">
        <v>132</v>
      </c>
      <c r="C540" s="36" t="s">
        <v>34</v>
      </c>
      <c r="D540" s="37" t="s">
        <v>104</v>
      </c>
      <c r="E540" s="37" t="s">
        <v>85</v>
      </c>
      <c r="F540" s="37" t="s">
        <v>527</v>
      </c>
      <c r="G540" s="37" t="s">
        <v>171</v>
      </c>
      <c r="H540" s="183">
        <f t="shared" ref="H540:J540" si="235">437.38-33.21</f>
        <v>404.17</v>
      </c>
      <c r="I540" s="183">
        <f t="shared" si="235"/>
        <v>404.17</v>
      </c>
      <c r="J540" s="183">
        <f t="shared" si="235"/>
        <v>404.17</v>
      </c>
      <c r="K540" s="183">
        <v>404.17</v>
      </c>
      <c r="L540" s="183">
        <v>404.17</v>
      </c>
      <c r="M540" s="183">
        <v>404.17</v>
      </c>
      <c r="N540" s="43">
        <f t="shared" si="217"/>
        <v>0</v>
      </c>
      <c r="O540" s="183">
        <v>404.17</v>
      </c>
      <c r="P540" s="183">
        <v>404.17</v>
      </c>
      <c r="Q540" s="183">
        <v>404.17</v>
      </c>
      <c r="R540" s="472">
        <f t="shared" si="229"/>
        <v>0</v>
      </c>
      <c r="S540" s="472">
        <f t="shared" si="230"/>
        <v>0</v>
      </c>
      <c r="T540" s="472">
        <f t="shared" si="231"/>
        <v>0</v>
      </c>
      <c r="U540" s="23" t="s">
        <v>132</v>
      </c>
      <c r="V540" s="36" t="s">
        <v>34</v>
      </c>
      <c r="W540" s="37" t="s">
        <v>104</v>
      </c>
      <c r="X540" s="37" t="s">
        <v>85</v>
      </c>
      <c r="Y540" s="37" t="s">
        <v>527</v>
      </c>
      <c r="Z540" s="37" t="s">
        <v>171</v>
      </c>
      <c r="AA540" s="12" t="b">
        <f t="shared" si="220"/>
        <v>1</v>
      </c>
      <c r="AB540" s="12" t="b">
        <f t="shared" si="221"/>
        <v>1</v>
      </c>
      <c r="AC540" s="12" t="b">
        <f t="shared" si="222"/>
        <v>1</v>
      </c>
      <c r="AD540" s="12" t="b">
        <f t="shared" si="223"/>
        <v>1</v>
      </c>
      <c r="AE540" s="12" t="b">
        <f t="shared" si="224"/>
        <v>1</v>
      </c>
      <c r="AF540" s="12" t="b">
        <f t="shared" si="225"/>
        <v>1</v>
      </c>
    </row>
    <row r="541" spans="1:32" s="44" customFormat="1" ht="15.75" customHeight="1">
      <c r="A541" s="285"/>
      <c r="B541" s="23" t="s">
        <v>133</v>
      </c>
      <c r="C541" s="36" t="s">
        <v>34</v>
      </c>
      <c r="D541" s="37" t="s">
        <v>104</v>
      </c>
      <c r="E541" s="37" t="s">
        <v>85</v>
      </c>
      <c r="F541" s="37" t="s">
        <v>527</v>
      </c>
      <c r="G541" s="37" t="s">
        <v>19</v>
      </c>
      <c r="H541" s="183">
        <v>48</v>
      </c>
      <c r="I541" s="183">
        <v>48</v>
      </c>
      <c r="J541" s="183">
        <v>48</v>
      </c>
      <c r="K541" s="183">
        <v>48</v>
      </c>
      <c r="L541" s="183">
        <v>48</v>
      </c>
      <c r="M541" s="183">
        <v>48</v>
      </c>
      <c r="N541" s="43">
        <f t="shared" si="217"/>
        <v>0</v>
      </c>
      <c r="O541" s="183">
        <v>48</v>
      </c>
      <c r="P541" s="183">
        <v>48</v>
      </c>
      <c r="Q541" s="183">
        <v>48</v>
      </c>
      <c r="R541" s="472">
        <f t="shared" si="229"/>
        <v>0</v>
      </c>
      <c r="S541" s="472">
        <f t="shared" si="230"/>
        <v>0</v>
      </c>
      <c r="T541" s="472">
        <f t="shared" si="231"/>
        <v>0</v>
      </c>
      <c r="U541" s="23" t="s">
        <v>133</v>
      </c>
      <c r="V541" s="36" t="s">
        <v>34</v>
      </c>
      <c r="W541" s="37" t="s">
        <v>104</v>
      </c>
      <c r="X541" s="37" t="s">
        <v>85</v>
      </c>
      <c r="Y541" s="37" t="s">
        <v>527</v>
      </c>
      <c r="Z541" s="37" t="s">
        <v>19</v>
      </c>
      <c r="AA541" s="12" t="b">
        <f t="shared" si="220"/>
        <v>1</v>
      </c>
      <c r="AB541" s="12" t="b">
        <f t="shared" si="221"/>
        <v>1</v>
      </c>
      <c r="AC541" s="12" t="b">
        <f t="shared" si="222"/>
        <v>1</v>
      </c>
      <c r="AD541" s="12" t="b">
        <f t="shared" si="223"/>
        <v>1</v>
      </c>
      <c r="AE541" s="12" t="b">
        <f t="shared" si="224"/>
        <v>1</v>
      </c>
      <c r="AF541" s="12" t="b">
        <f t="shared" si="225"/>
        <v>1</v>
      </c>
    </row>
    <row r="542" spans="1:32" s="44" customFormat="1" ht="15.75" customHeight="1">
      <c r="A542" s="285"/>
      <c r="B542" s="32" t="s">
        <v>684</v>
      </c>
      <c r="C542" s="33" t="s">
        <v>34</v>
      </c>
      <c r="D542" s="34" t="s">
        <v>104</v>
      </c>
      <c r="E542" s="34" t="s">
        <v>104</v>
      </c>
      <c r="F542" s="34" t="s">
        <v>223</v>
      </c>
      <c r="G542" s="34" t="s">
        <v>90</v>
      </c>
      <c r="H542" s="35">
        <f>H548+H543+H565+H570</f>
        <v>16530.11</v>
      </c>
      <c r="I542" s="35">
        <f>I548+I543+I565+I570</f>
        <v>16531.78</v>
      </c>
      <c r="J542" s="35">
        <f>J548+J543+J565+J570</f>
        <v>16533.52</v>
      </c>
      <c r="K542" s="35">
        <v>16530.11</v>
      </c>
      <c r="L542" s="35">
        <v>16531.78</v>
      </c>
      <c r="M542" s="35">
        <v>16533.52</v>
      </c>
      <c r="N542" s="43">
        <f t="shared" si="217"/>
        <v>0</v>
      </c>
      <c r="O542" s="35">
        <v>16522.59</v>
      </c>
      <c r="P542" s="35">
        <v>16524.259999999998</v>
      </c>
      <c r="Q542" s="35">
        <v>16526</v>
      </c>
      <c r="R542" s="472">
        <f t="shared" si="229"/>
        <v>7.5200000000004366</v>
      </c>
      <c r="S542" s="472">
        <f t="shared" si="230"/>
        <v>7.5200000000004366</v>
      </c>
      <c r="T542" s="472">
        <f t="shared" si="231"/>
        <v>7.5200000000004366</v>
      </c>
      <c r="U542" s="32" t="s">
        <v>684</v>
      </c>
      <c r="V542" s="33" t="s">
        <v>34</v>
      </c>
      <c r="W542" s="34" t="s">
        <v>104</v>
      </c>
      <c r="X542" s="34" t="s">
        <v>104</v>
      </c>
      <c r="Y542" s="34" t="s">
        <v>223</v>
      </c>
      <c r="Z542" s="34" t="s">
        <v>90</v>
      </c>
      <c r="AA542" s="12" t="b">
        <f t="shared" si="220"/>
        <v>1</v>
      </c>
      <c r="AB542" s="12" t="b">
        <f t="shared" si="221"/>
        <v>1</v>
      </c>
      <c r="AC542" s="12" t="b">
        <f t="shared" si="222"/>
        <v>1</v>
      </c>
      <c r="AD542" s="12" t="b">
        <f t="shared" si="223"/>
        <v>1</v>
      </c>
      <c r="AE542" s="12" t="b">
        <f t="shared" si="224"/>
        <v>1</v>
      </c>
      <c r="AF542" s="12" t="b">
        <f t="shared" si="225"/>
        <v>1</v>
      </c>
    </row>
    <row r="543" spans="1:32" s="44" customFormat="1" ht="15.75" customHeight="1">
      <c r="A543" s="285"/>
      <c r="B543" s="23" t="s">
        <v>1166</v>
      </c>
      <c r="C543" s="36" t="s">
        <v>34</v>
      </c>
      <c r="D543" s="37" t="s">
        <v>104</v>
      </c>
      <c r="E543" s="37" t="s">
        <v>104</v>
      </c>
      <c r="F543" s="37" t="s">
        <v>296</v>
      </c>
      <c r="G543" s="37" t="s">
        <v>90</v>
      </c>
      <c r="H543" s="183">
        <f t="shared" ref="H543:J546" si="236">H544</f>
        <v>187.5</v>
      </c>
      <c r="I543" s="183">
        <f t="shared" si="236"/>
        <v>187.5</v>
      </c>
      <c r="J543" s="183">
        <f t="shared" si="236"/>
        <v>187.5</v>
      </c>
      <c r="K543" s="183">
        <v>187.5</v>
      </c>
      <c r="L543" s="183">
        <v>187.5</v>
      </c>
      <c r="M543" s="183">
        <v>187.5</v>
      </c>
      <c r="N543" s="43">
        <f t="shared" si="217"/>
        <v>0</v>
      </c>
      <c r="O543" s="183">
        <v>187.5</v>
      </c>
      <c r="P543" s="183">
        <v>187.5</v>
      </c>
      <c r="Q543" s="183">
        <v>187.5</v>
      </c>
      <c r="R543" s="472">
        <f t="shared" si="229"/>
        <v>0</v>
      </c>
      <c r="S543" s="472">
        <f t="shared" si="230"/>
        <v>0</v>
      </c>
      <c r="T543" s="472">
        <f t="shared" si="231"/>
        <v>0</v>
      </c>
      <c r="U543" s="23" t="s">
        <v>1166</v>
      </c>
      <c r="V543" s="36" t="s">
        <v>34</v>
      </c>
      <c r="W543" s="37" t="s">
        <v>104</v>
      </c>
      <c r="X543" s="37" t="s">
        <v>104</v>
      </c>
      <c r="Y543" s="37" t="s">
        <v>296</v>
      </c>
      <c r="Z543" s="37" t="s">
        <v>90</v>
      </c>
      <c r="AA543" s="12" t="b">
        <f t="shared" si="220"/>
        <v>1</v>
      </c>
      <c r="AB543" s="12" t="b">
        <f t="shared" si="221"/>
        <v>1</v>
      </c>
      <c r="AC543" s="12" t="b">
        <f t="shared" si="222"/>
        <v>1</v>
      </c>
      <c r="AD543" s="12" t="b">
        <f t="shared" si="223"/>
        <v>1</v>
      </c>
      <c r="AE543" s="12" t="b">
        <f t="shared" si="224"/>
        <v>1</v>
      </c>
      <c r="AF543" s="12" t="b">
        <f t="shared" si="225"/>
        <v>1</v>
      </c>
    </row>
    <row r="544" spans="1:32" s="44" customFormat="1" ht="15.75" customHeight="1">
      <c r="A544" s="285"/>
      <c r="B544" s="182" t="s">
        <v>836</v>
      </c>
      <c r="C544" s="36" t="s">
        <v>34</v>
      </c>
      <c r="D544" s="37" t="s">
        <v>104</v>
      </c>
      <c r="E544" s="37" t="s">
        <v>104</v>
      </c>
      <c r="F544" s="37" t="s">
        <v>404</v>
      </c>
      <c r="G544" s="37" t="s">
        <v>90</v>
      </c>
      <c r="H544" s="183">
        <f t="shared" si="236"/>
        <v>187.5</v>
      </c>
      <c r="I544" s="183">
        <f t="shared" si="236"/>
        <v>187.5</v>
      </c>
      <c r="J544" s="183">
        <f t="shared" si="236"/>
        <v>187.5</v>
      </c>
      <c r="K544" s="183">
        <v>187.5</v>
      </c>
      <c r="L544" s="183">
        <v>187.5</v>
      </c>
      <c r="M544" s="183">
        <v>187.5</v>
      </c>
      <c r="N544" s="43">
        <f t="shared" si="217"/>
        <v>0</v>
      </c>
      <c r="O544" s="183">
        <v>187.5</v>
      </c>
      <c r="P544" s="183">
        <v>187.5</v>
      </c>
      <c r="Q544" s="183">
        <v>187.5</v>
      </c>
      <c r="R544" s="472">
        <f t="shared" si="229"/>
        <v>0</v>
      </c>
      <c r="S544" s="472">
        <f t="shared" si="230"/>
        <v>0</v>
      </c>
      <c r="T544" s="472">
        <f t="shared" si="231"/>
        <v>0</v>
      </c>
      <c r="U544" s="182" t="s">
        <v>836</v>
      </c>
      <c r="V544" s="36" t="s">
        <v>34</v>
      </c>
      <c r="W544" s="37" t="s">
        <v>104</v>
      </c>
      <c r="X544" s="37" t="s">
        <v>104</v>
      </c>
      <c r="Y544" s="37" t="s">
        <v>404</v>
      </c>
      <c r="Z544" s="37" t="s">
        <v>90</v>
      </c>
      <c r="AA544" s="12" t="b">
        <f t="shared" si="220"/>
        <v>1</v>
      </c>
      <c r="AB544" s="12" t="b">
        <f t="shared" si="221"/>
        <v>1</v>
      </c>
      <c r="AC544" s="12" t="b">
        <f t="shared" si="222"/>
        <v>1</v>
      </c>
      <c r="AD544" s="12" t="b">
        <f t="shared" si="223"/>
        <v>1</v>
      </c>
      <c r="AE544" s="12" t="b">
        <f t="shared" si="224"/>
        <v>1</v>
      </c>
      <c r="AF544" s="12" t="b">
        <f t="shared" si="225"/>
        <v>1</v>
      </c>
    </row>
    <row r="545" spans="1:32" s="44" customFormat="1" ht="15.75" customHeight="1">
      <c r="A545" s="285"/>
      <c r="B545" s="178" t="s">
        <v>405</v>
      </c>
      <c r="C545" s="36" t="s">
        <v>34</v>
      </c>
      <c r="D545" s="37" t="s">
        <v>104</v>
      </c>
      <c r="E545" s="37" t="s">
        <v>104</v>
      </c>
      <c r="F545" s="37" t="s">
        <v>555</v>
      </c>
      <c r="G545" s="37" t="s">
        <v>90</v>
      </c>
      <c r="H545" s="183">
        <f t="shared" si="236"/>
        <v>187.5</v>
      </c>
      <c r="I545" s="183">
        <f t="shared" si="236"/>
        <v>187.5</v>
      </c>
      <c r="J545" s="183">
        <f t="shared" si="236"/>
        <v>187.5</v>
      </c>
      <c r="K545" s="183">
        <v>187.5</v>
      </c>
      <c r="L545" s="183">
        <v>187.5</v>
      </c>
      <c r="M545" s="183">
        <v>187.5</v>
      </c>
      <c r="N545" s="43">
        <f t="shared" si="217"/>
        <v>0</v>
      </c>
      <c r="O545" s="183">
        <v>187.5</v>
      </c>
      <c r="P545" s="183">
        <v>187.5</v>
      </c>
      <c r="Q545" s="183">
        <v>187.5</v>
      </c>
      <c r="R545" s="472">
        <f t="shared" si="229"/>
        <v>0</v>
      </c>
      <c r="S545" s="472">
        <f t="shared" si="230"/>
        <v>0</v>
      </c>
      <c r="T545" s="472">
        <f t="shared" si="231"/>
        <v>0</v>
      </c>
      <c r="U545" s="178" t="s">
        <v>405</v>
      </c>
      <c r="V545" s="36" t="s">
        <v>34</v>
      </c>
      <c r="W545" s="37" t="s">
        <v>104</v>
      </c>
      <c r="X545" s="37" t="s">
        <v>104</v>
      </c>
      <c r="Y545" s="37" t="s">
        <v>555</v>
      </c>
      <c r="Z545" s="37" t="s">
        <v>90</v>
      </c>
      <c r="AA545" s="12" t="b">
        <f t="shared" si="220"/>
        <v>1</v>
      </c>
      <c r="AB545" s="12" t="b">
        <f t="shared" si="221"/>
        <v>1</v>
      </c>
      <c r="AC545" s="12" t="b">
        <f t="shared" si="222"/>
        <v>1</v>
      </c>
      <c r="AD545" s="12" t="b">
        <f t="shared" si="223"/>
        <v>1</v>
      </c>
      <c r="AE545" s="12" t="b">
        <f t="shared" si="224"/>
        <v>1</v>
      </c>
      <c r="AF545" s="12" t="b">
        <f t="shared" si="225"/>
        <v>1</v>
      </c>
    </row>
    <row r="546" spans="1:32" s="44" customFormat="1" ht="15.75" customHeight="1">
      <c r="A546" s="285"/>
      <c r="B546" s="22" t="s">
        <v>187</v>
      </c>
      <c r="C546" s="36" t="s">
        <v>34</v>
      </c>
      <c r="D546" s="37" t="s">
        <v>104</v>
      </c>
      <c r="E546" s="37" t="s">
        <v>104</v>
      </c>
      <c r="F546" s="37" t="s">
        <v>556</v>
      </c>
      <c r="G546" s="37" t="s">
        <v>90</v>
      </c>
      <c r="H546" s="183">
        <f t="shared" si="236"/>
        <v>187.5</v>
      </c>
      <c r="I546" s="183">
        <f t="shared" si="236"/>
        <v>187.5</v>
      </c>
      <c r="J546" s="183">
        <f t="shared" si="236"/>
        <v>187.5</v>
      </c>
      <c r="K546" s="183">
        <v>187.5</v>
      </c>
      <c r="L546" s="183">
        <v>187.5</v>
      </c>
      <c r="M546" s="183">
        <v>187.5</v>
      </c>
      <c r="N546" s="43">
        <f t="shared" si="217"/>
        <v>0</v>
      </c>
      <c r="O546" s="183">
        <v>187.5</v>
      </c>
      <c r="P546" s="183">
        <v>187.5</v>
      </c>
      <c r="Q546" s="183">
        <v>187.5</v>
      </c>
      <c r="R546" s="472">
        <f t="shared" si="229"/>
        <v>0</v>
      </c>
      <c r="S546" s="472">
        <f t="shared" si="230"/>
        <v>0</v>
      </c>
      <c r="T546" s="472">
        <f t="shared" si="231"/>
        <v>0</v>
      </c>
      <c r="U546" s="22" t="s">
        <v>187</v>
      </c>
      <c r="V546" s="36" t="s">
        <v>34</v>
      </c>
      <c r="W546" s="37" t="s">
        <v>104</v>
      </c>
      <c r="X546" s="37" t="s">
        <v>104</v>
      </c>
      <c r="Y546" s="37" t="s">
        <v>556</v>
      </c>
      <c r="Z546" s="37" t="s">
        <v>90</v>
      </c>
      <c r="AA546" s="12" t="b">
        <f t="shared" si="220"/>
        <v>1</v>
      </c>
      <c r="AB546" s="12" t="b">
        <f t="shared" si="221"/>
        <v>1</v>
      </c>
      <c r="AC546" s="12" t="b">
        <f t="shared" si="222"/>
        <v>1</v>
      </c>
      <c r="AD546" s="12" t="b">
        <f t="shared" si="223"/>
        <v>1</v>
      </c>
      <c r="AE546" s="12" t="b">
        <f t="shared" si="224"/>
        <v>1</v>
      </c>
      <c r="AF546" s="12" t="b">
        <f t="shared" si="225"/>
        <v>1</v>
      </c>
    </row>
    <row r="547" spans="1:32" s="44" customFormat="1" ht="15.75" customHeight="1">
      <c r="A547" s="285"/>
      <c r="B547" s="182" t="s">
        <v>132</v>
      </c>
      <c r="C547" s="36" t="s">
        <v>34</v>
      </c>
      <c r="D547" s="37" t="s">
        <v>104</v>
      </c>
      <c r="E547" s="37" t="s">
        <v>104</v>
      </c>
      <c r="F547" s="37" t="s">
        <v>556</v>
      </c>
      <c r="G547" s="37" t="s">
        <v>171</v>
      </c>
      <c r="H547" s="183">
        <v>187.5</v>
      </c>
      <c r="I547" s="183">
        <v>187.5</v>
      </c>
      <c r="J547" s="183">
        <v>187.5</v>
      </c>
      <c r="K547" s="183">
        <v>187.5</v>
      </c>
      <c r="L547" s="183">
        <v>187.5</v>
      </c>
      <c r="M547" s="183">
        <v>187.5</v>
      </c>
      <c r="N547" s="43">
        <f t="shared" si="217"/>
        <v>0</v>
      </c>
      <c r="O547" s="183">
        <v>187.5</v>
      </c>
      <c r="P547" s="183">
        <v>187.5</v>
      </c>
      <c r="Q547" s="183">
        <v>187.5</v>
      </c>
      <c r="R547" s="472">
        <f t="shared" si="229"/>
        <v>0</v>
      </c>
      <c r="S547" s="472">
        <f t="shared" si="230"/>
        <v>0</v>
      </c>
      <c r="T547" s="472">
        <f t="shared" si="231"/>
        <v>0</v>
      </c>
      <c r="U547" s="182" t="s">
        <v>132</v>
      </c>
      <c r="V547" s="36" t="s">
        <v>34</v>
      </c>
      <c r="W547" s="37" t="s">
        <v>104</v>
      </c>
      <c r="X547" s="37" t="s">
        <v>104</v>
      </c>
      <c r="Y547" s="37" t="s">
        <v>556</v>
      </c>
      <c r="Z547" s="37" t="s">
        <v>171</v>
      </c>
      <c r="AA547" s="12" t="b">
        <f t="shared" si="220"/>
        <v>1</v>
      </c>
      <c r="AB547" s="12" t="b">
        <f t="shared" si="221"/>
        <v>1</v>
      </c>
      <c r="AC547" s="12" t="b">
        <f t="shared" si="222"/>
        <v>1</v>
      </c>
      <c r="AD547" s="12" t="b">
        <f t="shared" si="223"/>
        <v>1</v>
      </c>
      <c r="AE547" s="12" t="b">
        <f t="shared" si="224"/>
        <v>1</v>
      </c>
      <c r="AF547" s="12" t="b">
        <f t="shared" si="225"/>
        <v>1</v>
      </c>
    </row>
    <row r="548" spans="1:32" s="44" customFormat="1" ht="15.75" customHeight="1">
      <c r="A548" s="285"/>
      <c r="B548" s="175" t="s">
        <v>658</v>
      </c>
      <c r="C548" s="36" t="s">
        <v>34</v>
      </c>
      <c r="D548" s="37" t="s">
        <v>104</v>
      </c>
      <c r="E548" s="37" t="s">
        <v>104</v>
      </c>
      <c r="F548" s="37" t="s">
        <v>407</v>
      </c>
      <c r="G548" s="37" t="s">
        <v>90</v>
      </c>
      <c r="H548" s="183">
        <f>H549</f>
        <v>15928.61</v>
      </c>
      <c r="I548" s="183">
        <f>I549</f>
        <v>15930.279999999999</v>
      </c>
      <c r="J548" s="183">
        <f>J549</f>
        <v>15932.02</v>
      </c>
      <c r="K548" s="183">
        <v>15928.61</v>
      </c>
      <c r="L548" s="183">
        <v>15930.279999999999</v>
      </c>
      <c r="M548" s="183">
        <v>15932.02</v>
      </c>
      <c r="N548" s="43">
        <f t="shared" si="217"/>
        <v>0</v>
      </c>
      <c r="O548" s="183">
        <v>15921.09</v>
      </c>
      <c r="P548" s="183">
        <v>15922.759999999998</v>
      </c>
      <c r="Q548" s="183">
        <v>15924.5</v>
      </c>
      <c r="R548" s="472">
        <f t="shared" si="229"/>
        <v>7.5200000000004366</v>
      </c>
      <c r="S548" s="472">
        <f t="shared" si="230"/>
        <v>7.5200000000004366</v>
      </c>
      <c r="T548" s="472">
        <f t="shared" si="231"/>
        <v>7.5200000000004366</v>
      </c>
      <c r="U548" s="175" t="s">
        <v>658</v>
      </c>
      <c r="V548" s="36" t="s">
        <v>34</v>
      </c>
      <c r="W548" s="37" t="s">
        <v>104</v>
      </c>
      <c r="X548" s="37" t="s">
        <v>104</v>
      </c>
      <c r="Y548" s="37" t="s">
        <v>407</v>
      </c>
      <c r="Z548" s="37" t="s">
        <v>90</v>
      </c>
      <c r="AA548" s="12" t="b">
        <f t="shared" si="220"/>
        <v>1</v>
      </c>
      <c r="AB548" s="12" t="b">
        <f t="shared" si="221"/>
        <v>1</v>
      </c>
      <c r="AC548" s="12" t="b">
        <f t="shared" si="222"/>
        <v>1</v>
      </c>
      <c r="AD548" s="12" t="b">
        <f t="shared" si="223"/>
        <v>1</v>
      </c>
      <c r="AE548" s="12" t="b">
        <f t="shared" si="224"/>
        <v>1</v>
      </c>
      <c r="AF548" s="12" t="b">
        <f t="shared" si="225"/>
        <v>1</v>
      </c>
    </row>
    <row r="549" spans="1:32" s="44" customFormat="1" ht="15.75" customHeight="1">
      <c r="A549" s="285"/>
      <c r="B549" s="175" t="s">
        <v>659</v>
      </c>
      <c r="C549" s="36" t="s">
        <v>34</v>
      </c>
      <c r="D549" s="37" t="s">
        <v>104</v>
      </c>
      <c r="E549" s="37" t="s">
        <v>104</v>
      </c>
      <c r="F549" s="37" t="s">
        <v>408</v>
      </c>
      <c r="G549" s="37" t="s">
        <v>90</v>
      </c>
      <c r="H549" s="183">
        <f>H550+H553+H562+H559</f>
        <v>15928.61</v>
      </c>
      <c r="I549" s="183">
        <f>I550+I553+I562+I559</f>
        <v>15930.279999999999</v>
      </c>
      <c r="J549" s="183">
        <f>J550+J553+J562+J559</f>
        <v>15932.02</v>
      </c>
      <c r="K549" s="183">
        <v>15928.61</v>
      </c>
      <c r="L549" s="183">
        <v>15930.279999999999</v>
      </c>
      <c r="M549" s="183">
        <v>15932.02</v>
      </c>
      <c r="N549" s="43">
        <f t="shared" si="217"/>
        <v>0</v>
      </c>
      <c r="O549" s="183">
        <v>15921.09</v>
      </c>
      <c r="P549" s="183">
        <v>15922.759999999998</v>
      </c>
      <c r="Q549" s="183">
        <v>15924.5</v>
      </c>
      <c r="R549" s="472">
        <f t="shared" si="229"/>
        <v>7.5200000000004366</v>
      </c>
      <c r="S549" s="472">
        <f t="shared" si="230"/>
        <v>7.5200000000004366</v>
      </c>
      <c r="T549" s="472">
        <f t="shared" si="231"/>
        <v>7.5200000000004366</v>
      </c>
      <c r="U549" s="175" t="s">
        <v>659</v>
      </c>
      <c r="V549" s="36" t="s">
        <v>34</v>
      </c>
      <c r="W549" s="37" t="s">
        <v>104</v>
      </c>
      <c r="X549" s="37" t="s">
        <v>104</v>
      </c>
      <c r="Y549" s="37" t="s">
        <v>408</v>
      </c>
      <c r="Z549" s="37" t="s">
        <v>90</v>
      </c>
      <c r="AA549" s="12" t="b">
        <f t="shared" si="220"/>
        <v>1</v>
      </c>
      <c r="AB549" s="12" t="b">
        <f t="shared" si="221"/>
        <v>1</v>
      </c>
      <c r="AC549" s="12" t="b">
        <f t="shared" si="222"/>
        <v>1</v>
      </c>
      <c r="AD549" s="12" t="b">
        <f t="shared" si="223"/>
        <v>1</v>
      </c>
      <c r="AE549" s="12" t="b">
        <f t="shared" si="224"/>
        <v>1</v>
      </c>
      <c r="AF549" s="12" t="b">
        <f t="shared" si="225"/>
        <v>1</v>
      </c>
    </row>
    <row r="550" spans="1:32" s="44" customFormat="1" ht="15.75" customHeight="1">
      <c r="A550" s="285"/>
      <c r="B550" s="22" t="s">
        <v>409</v>
      </c>
      <c r="C550" s="36" t="s">
        <v>34</v>
      </c>
      <c r="D550" s="37" t="s">
        <v>104</v>
      </c>
      <c r="E550" s="37" t="s">
        <v>104</v>
      </c>
      <c r="F550" s="37" t="s">
        <v>410</v>
      </c>
      <c r="G550" s="37" t="s">
        <v>90</v>
      </c>
      <c r="H550" s="183">
        <f t="shared" ref="H550:J551" si="237">H551</f>
        <v>852</v>
      </c>
      <c r="I550" s="183">
        <f t="shared" si="237"/>
        <v>852</v>
      </c>
      <c r="J550" s="183">
        <f t="shared" si="237"/>
        <v>852</v>
      </c>
      <c r="K550" s="183">
        <v>852</v>
      </c>
      <c r="L550" s="183">
        <v>852</v>
      </c>
      <c r="M550" s="183">
        <v>852</v>
      </c>
      <c r="N550" s="43">
        <f t="shared" si="217"/>
        <v>0</v>
      </c>
      <c r="O550" s="183">
        <v>852</v>
      </c>
      <c r="P550" s="183">
        <v>852</v>
      </c>
      <c r="Q550" s="183">
        <v>852</v>
      </c>
      <c r="R550" s="472">
        <f t="shared" si="229"/>
        <v>0</v>
      </c>
      <c r="S550" s="472">
        <f t="shared" si="230"/>
        <v>0</v>
      </c>
      <c r="T550" s="472">
        <f t="shared" si="231"/>
        <v>0</v>
      </c>
      <c r="U550" s="22" t="s">
        <v>409</v>
      </c>
      <c r="V550" s="36" t="s">
        <v>34</v>
      </c>
      <c r="W550" s="37" t="s">
        <v>104</v>
      </c>
      <c r="X550" s="37" t="s">
        <v>104</v>
      </c>
      <c r="Y550" s="37" t="s">
        <v>410</v>
      </c>
      <c r="Z550" s="37" t="s">
        <v>90</v>
      </c>
      <c r="AA550" s="12" t="b">
        <f t="shared" si="220"/>
        <v>1</v>
      </c>
      <c r="AB550" s="12" t="b">
        <f t="shared" si="221"/>
        <v>1</v>
      </c>
      <c r="AC550" s="12" t="b">
        <f t="shared" si="222"/>
        <v>1</v>
      </c>
      <c r="AD550" s="12" t="b">
        <f t="shared" si="223"/>
        <v>1</v>
      </c>
      <c r="AE550" s="12" t="b">
        <f t="shared" si="224"/>
        <v>1</v>
      </c>
      <c r="AF550" s="12" t="b">
        <f t="shared" si="225"/>
        <v>1</v>
      </c>
    </row>
    <row r="551" spans="1:32" s="44" customFormat="1" ht="15.75" customHeight="1">
      <c r="A551" s="285"/>
      <c r="B551" s="182" t="s">
        <v>191</v>
      </c>
      <c r="C551" s="36" t="s">
        <v>34</v>
      </c>
      <c r="D551" s="37" t="s">
        <v>104</v>
      </c>
      <c r="E551" s="37" t="s">
        <v>104</v>
      </c>
      <c r="F551" s="37" t="s">
        <v>411</v>
      </c>
      <c r="G551" s="37" t="s">
        <v>90</v>
      </c>
      <c r="H551" s="183">
        <f t="shared" si="237"/>
        <v>852</v>
      </c>
      <c r="I551" s="183">
        <f t="shared" si="237"/>
        <v>852</v>
      </c>
      <c r="J551" s="183">
        <f t="shared" si="237"/>
        <v>852</v>
      </c>
      <c r="K551" s="183">
        <v>852</v>
      </c>
      <c r="L551" s="183">
        <v>852</v>
      </c>
      <c r="M551" s="183">
        <v>852</v>
      </c>
      <c r="N551" s="43">
        <f t="shared" si="217"/>
        <v>0</v>
      </c>
      <c r="O551" s="183">
        <v>852</v>
      </c>
      <c r="P551" s="183">
        <v>852</v>
      </c>
      <c r="Q551" s="183">
        <v>852</v>
      </c>
      <c r="R551" s="472">
        <f t="shared" si="229"/>
        <v>0</v>
      </c>
      <c r="S551" s="472">
        <f t="shared" si="230"/>
        <v>0</v>
      </c>
      <c r="T551" s="472">
        <f t="shared" si="231"/>
        <v>0</v>
      </c>
      <c r="U551" s="182" t="s">
        <v>191</v>
      </c>
      <c r="V551" s="36" t="s">
        <v>34</v>
      </c>
      <c r="W551" s="37" t="s">
        <v>104</v>
      </c>
      <c r="X551" s="37" t="s">
        <v>104</v>
      </c>
      <c r="Y551" s="37" t="s">
        <v>411</v>
      </c>
      <c r="Z551" s="37" t="s">
        <v>90</v>
      </c>
      <c r="AA551" s="12" t="b">
        <f t="shared" si="220"/>
        <v>1</v>
      </c>
      <c r="AB551" s="12" t="b">
        <f t="shared" si="221"/>
        <v>1</v>
      </c>
      <c r="AC551" s="12" t="b">
        <f t="shared" si="222"/>
        <v>1</v>
      </c>
      <c r="AD551" s="12" t="b">
        <f t="shared" si="223"/>
        <v>1</v>
      </c>
      <c r="AE551" s="12" t="b">
        <f t="shared" si="224"/>
        <v>1</v>
      </c>
      <c r="AF551" s="12" t="b">
        <f t="shared" si="225"/>
        <v>1</v>
      </c>
    </row>
    <row r="552" spans="1:32" s="44" customFormat="1" ht="15.75" customHeight="1">
      <c r="A552" s="285"/>
      <c r="B552" s="23" t="s">
        <v>132</v>
      </c>
      <c r="C552" s="36" t="s">
        <v>34</v>
      </c>
      <c r="D552" s="37" t="s">
        <v>104</v>
      </c>
      <c r="E552" s="37" t="s">
        <v>104</v>
      </c>
      <c r="F552" s="37" t="s">
        <v>411</v>
      </c>
      <c r="G552" s="37" t="s">
        <v>171</v>
      </c>
      <c r="H552" s="183">
        <v>852</v>
      </c>
      <c r="I552" s="183">
        <v>852</v>
      </c>
      <c r="J552" s="183">
        <v>852</v>
      </c>
      <c r="K552" s="183">
        <v>852</v>
      </c>
      <c r="L552" s="183">
        <v>852</v>
      </c>
      <c r="M552" s="183">
        <v>852</v>
      </c>
      <c r="N552" s="43">
        <f t="shared" si="217"/>
        <v>0</v>
      </c>
      <c r="O552" s="183">
        <v>852</v>
      </c>
      <c r="P552" s="183">
        <v>852</v>
      </c>
      <c r="Q552" s="183">
        <v>852</v>
      </c>
      <c r="R552" s="472">
        <f t="shared" si="229"/>
        <v>0</v>
      </c>
      <c r="S552" s="472">
        <f t="shared" si="230"/>
        <v>0</v>
      </c>
      <c r="T552" s="472">
        <f t="shared" si="231"/>
        <v>0</v>
      </c>
      <c r="U552" s="23" t="s">
        <v>132</v>
      </c>
      <c r="V552" s="36" t="s">
        <v>34</v>
      </c>
      <c r="W552" s="37" t="s">
        <v>104</v>
      </c>
      <c r="X552" s="37" t="s">
        <v>104</v>
      </c>
      <c r="Y552" s="37" t="s">
        <v>411</v>
      </c>
      <c r="Z552" s="37" t="s">
        <v>171</v>
      </c>
      <c r="AA552" s="12" t="b">
        <f t="shared" si="220"/>
        <v>1</v>
      </c>
      <c r="AB552" s="12" t="b">
        <f t="shared" si="221"/>
        <v>1</v>
      </c>
      <c r="AC552" s="12" t="b">
        <f t="shared" si="222"/>
        <v>1</v>
      </c>
      <c r="AD552" s="12" t="b">
        <f t="shared" si="223"/>
        <v>1</v>
      </c>
      <c r="AE552" s="12" t="b">
        <f t="shared" si="224"/>
        <v>1</v>
      </c>
      <c r="AF552" s="12" t="b">
        <f t="shared" si="225"/>
        <v>1</v>
      </c>
    </row>
    <row r="553" spans="1:32" s="44" customFormat="1" ht="15.75" customHeight="1">
      <c r="A553" s="285"/>
      <c r="B553" s="22" t="s">
        <v>412</v>
      </c>
      <c r="C553" s="36" t="s">
        <v>34</v>
      </c>
      <c r="D553" s="37" t="s">
        <v>104</v>
      </c>
      <c r="E553" s="37" t="s">
        <v>104</v>
      </c>
      <c r="F553" s="37" t="s">
        <v>498</v>
      </c>
      <c r="G553" s="37" t="s">
        <v>90</v>
      </c>
      <c r="H553" s="183">
        <f>H554</f>
        <v>5062.04</v>
      </c>
      <c r="I553" s="183">
        <f>I554</f>
        <v>5062.04</v>
      </c>
      <c r="J553" s="183">
        <f>J554</f>
        <v>5062.04</v>
      </c>
      <c r="K553" s="183">
        <v>5062.04</v>
      </c>
      <c r="L553" s="183">
        <v>5062.04</v>
      </c>
      <c r="M553" s="183">
        <v>5062.04</v>
      </c>
      <c r="N553" s="43">
        <f t="shared" si="217"/>
        <v>0</v>
      </c>
      <c r="O553" s="183">
        <v>5062.04</v>
      </c>
      <c r="P553" s="183">
        <v>5062.04</v>
      </c>
      <c r="Q553" s="183">
        <v>5062.04</v>
      </c>
      <c r="R553" s="472">
        <f t="shared" si="229"/>
        <v>0</v>
      </c>
      <c r="S553" s="472">
        <f t="shared" si="230"/>
        <v>0</v>
      </c>
      <c r="T553" s="472">
        <f t="shared" si="231"/>
        <v>0</v>
      </c>
      <c r="U553" s="22" t="s">
        <v>412</v>
      </c>
      <c r="V553" s="36" t="s">
        <v>34</v>
      </c>
      <c r="W553" s="37" t="s">
        <v>104</v>
      </c>
      <c r="X553" s="37" t="s">
        <v>104</v>
      </c>
      <c r="Y553" s="37" t="s">
        <v>498</v>
      </c>
      <c r="Z553" s="37" t="s">
        <v>90</v>
      </c>
      <c r="AA553" s="12" t="b">
        <f t="shared" si="220"/>
        <v>1</v>
      </c>
      <c r="AB553" s="12" t="b">
        <f t="shared" si="221"/>
        <v>1</v>
      </c>
      <c r="AC553" s="12" t="b">
        <f t="shared" si="222"/>
        <v>1</v>
      </c>
      <c r="AD553" s="12" t="b">
        <f t="shared" si="223"/>
        <v>1</v>
      </c>
      <c r="AE553" s="12" t="b">
        <f t="shared" si="224"/>
        <v>1</v>
      </c>
      <c r="AF553" s="12" t="b">
        <f t="shared" si="225"/>
        <v>1</v>
      </c>
    </row>
    <row r="554" spans="1:32" s="44" customFormat="1" ht="15.75" customHeight="1">
      <c r="A554" s="285"/>
      <c r="B554" s="182" t="s">
        <v>191</v>
      </c>
      <c r="C554" s="36" t="s">
        <v>34</v>
      </c>
      <c r="D554" s="37" t="s">
        <v>104</v>
      </c>
      <c r="E554" s="37" t="s">
        <v>104</v>
      </c>
      <c r="F554" s="37" t="s">
        <v>413</v>
      </c>
      <c r="G554" s="37" t="s">
        <v>90</v>
      </c>
      <c r="H554" s="183">
        <f>H555+H558+H557+H556</f>
        <v>5062.04</v>
      </c>
      <c r="I554" s="183">
        <f>I555+I558+I557+I556</f>
        <v>5062.04</v>
      </c>
      <c r="J554" s="183">
        <f>J555+J558+J557+J556</f>
        <v>5062.04</v>
      </c>
      <c r="K554" s="183">
        <v>5062.04</v>
      </c>
      <c r="L554" s="183">
        <v>5062.04</v>
      </c>
      <c r="M554" s="183">
        <v>5062.04</v>
      </c>
      <c r="N554" s="43">
        <f t="shared" si="217"/>
        <v>0</v>
      </c>
      <c r="O554" s="183">
        <v>5062.04</v>
      </c>
      <c r="P554" s="183">
        <v>5062.04</v>
      </c>
      <c r="Q554" s="183">
        <v>5062.04</v>
      </c>
      <c r="R554" s="472">
        <f t="shared" ref="R554:R576" si="238">H554-O554</f>
        <v>0</v>
      </c>
      <c r="S554" s="472">
        <f t="shared" ref="S554:S576" si="239">I554-P554</f>
        <v>0</v>
      </c>
      <c r="T554" s="472">
        <f t="shared" ref="T554:T576" si="240">J554-Q554</f>
        <v>0</v>
      </c>
      <c r="U554" s="182" t="s">
        <v>191</v>
      </c>
      <c r="V554" s="36" t="s">
        <v>34</v>
      </c>
      <c r="W554" s="37" t="s">
        <v>104</v>
      </c>
      <c r="X554" s="37" t="s">
        <v>104</v>
      </c>
      <c r="Y554" s="37" t="s">
        <v>413</v>
      </c>
      <c r="Z554" s="37" t="s">
        <v>90</v>
      </c>
      <c r="AA554" s="12" t="b">
        <f t="shared" si="220"/>
        <v>1</v>
      </c>
      <c r="AB554" s="12" t="b">
        <f t="shared" si="221"/>
        <v>1</v>
      </c>
      <c r="AC554" s="12" t="b">
        <f t="shared" si="222"/>
        <v>1</v>
      </c>
      <c r="AD554" s="12" t="b">
        <f t="shared" si="223"/>
        <v>1</v>
      </c>
      <c r="AE554" s="12" t="b">
        <f t="shared" si="224"/>
        <v>1</v>
      </c>
      <c r="AF554" s="12" t="b">
        <f t="shared" si="225"/>
        <v>1</v>
      </c>
    </row>
    <row r="555" spans="1:32" s="44" customFormat="1" ht="15.75" customHeight="1">
      <c r="A555" s="285"/>
      <c r="B555" s="182" t="s">
        <v>145</v>
      </c>
      <c r="C555" s="36" t="s">
        <v>34</v>
      </c>
      <c r="D555" s="37" t="s">
        <v>104</v>
      </c>
      <c r="E555" s="37" t="s">
        <v>104</v>
      </c>
      <c r="F555" s="37" t="s">
        <v>413</v>
      </c>
      <c r="G555" s="37" t="s">
        <v>153</v>
      </c>
      <c r="H555" s="183">
        <v>549.04</v>
      </c>
      <c r="I555" s="183">
        <v>549.04</v>
      </c>
      <c r="J555" s="183">
        <v>549.04</v>
      </c>
      <c r="K555" s="183">
        <v>549.04</v>
      </c>
      <c r="L555" s="183">
        <v>549.04</v>
      </c>
      <c r="M555" s="183">
        <v>549.04</v>
      </c>
      <c r="N555" s="43">
        <f t="shared" si="217"/>
        <v>0</v>
      </c>
      <c r="O555" s="183">
        <v>549.04</v>
      </c>
      <c r="P555" s="183">
        <v>549.04</v>
      </c>
      <c r="Q555" s="183">
        <v>549.04</v>
      </c>
      <c r="R555" s="472">
        <f t="shared" si="238"/>
        <v>0</v>
      </c>
      <c r="S555" s="472">
        <f t="shared" si="239"/>
        <v>0</v>
      </c>
      <c r="T555" s="472">
        <f t="shared" si="240"/>
        <v>0</v>
      </c>
      <c r="U555" s="182" t="s">
        <v>145</v>
      </c>
      <c r="V555" s="36" t="s">
        <v>34</v>
      </c>
      <c r="W555" s="37" t="s">
        <v>104</v>
      </c>
      <c r="X555" s="37" t="s">
        <v>104</v>
      </c>
      <c r="Y555" s="37" t="s">
        <v>413</v>
      </c>
      <c r="Z555" s="37" t="s">
        <v>153</v>
      </c>
      <c r="AA555" s="12" t="b">
        <f t="shared" si="220"/>
        <v>1</v>
      </c>
      <c r="AB555" s="12" t="b">
        <f t="shared" si="221"/>
        <v>1</v>
      </c>
      <c r="AC555" s="12" t="b">
        <f t="shared" si="222"/>
        <v>1</v>
      </c>
      <c r="AD555" s="12" t="b">
        <f t="shared" si="223"/>
        <v>1</v>
      </c>
      <c r="AE555" s="12" t="b">
        <f t="shared" si="224"/>
        <v>1</v>
      </c>
      <c r="AF555" s="12" t="b">
        <f t="shared" si="225"/>
        <v>1</v>
      </c>
    </row>
    <row r="556" spans="1:32" s="44" customFormat="1" ht="15.75" customHeight="1">
      <c r="A556" s="285"/>
      <c r="B556" s="182" t="s">
        <v>130</v>
      </c>
      <c r="C556" s="36" t="s">
        <v>34</v>
      </c>
      <c r="D556" s="37" t="s">
        <v>104</v>
      </c>
      <c r="E556" s="37" t="s">
        <v>104</v>
      </c>
      <c r="F556" s="37" t="s">
        <v>413</v>
      </c>
      <c r="G556" s="37" t="s">
        <v>208</v>
      </c>
      <c r="H556" s="183">
        <f>2835+135</f>
        <v>2970</v>
      </c>
      <c r="I556" s="183">
        <f t="shared" ref="I556:J556" si="241">2835+135</f>
        <v>2970</v>
      </c>
      <c r="J556" s="183">
        <f t="shared" si="241"/>
        <v>2970</v>
      </c>
      <c r="K556" s="183">
        <v>2970</v>
      </c>
      <c r="L556" s="183">
        <v>2970</v>
      </c>
      <c r="M556" s="183">
        <v>2970</v>
      </c>
      <c r="N556" s="43">
        <f t="shared" si="217"/>
        <v>0</v>
      </c>
      <c r="O556" s="183">
        <v>2970</v>
      </c>
      <c r="P556" s="183">
        <v>2970</v>
      </c>
      <c r="Q556" s="183">
        <v>2970</v>
      </c>
      <c r="R556" s="472">
        <f t="shared" si="238"/>
        <v>0</v>
      </c>
      <c r="S556" s="472">
        <f t="shared" si="239"/>
        <v>0</v>
      </c>
      <c r="T556" s="472">
        <f t="shared" si="240"/>
        <v>0</v>
      </c>
      <c r="U556" s="182" t="s">
        <v>130</v>
      </c>
      <c r="V556" s="36" t="s">
        <v>34</v>
      </c>
      <c r="W556" s="37" t="s">
        <v>104</v>
      </c>
      <c r="X556" s="37" t="s">
        <v>104</v>
      </c>
      <c r="Y556" s="37" t="s">
        <v>413</v>
      </c>
      <c r="Z556" s="37" t="s">
        <v>208</v>
      </c>
      <c r="AA556" s="12" t="b">
        <f t="shared" si="220"/>
        <v>1</v>
      </c>
      <c r="AB556" s="12" t="b">
        <f t="shared" si="221"/>
        <v>1</v>
      </c>
      <c r="AC556" s="12" t="b">
        <f t="shared" si="222"/>
        <v>1</v>
      </c>
      <c r="AD556" s="12" t="b">
        <f t="shared" si="223"/>
        <v>1</v>
      </c>
      <c r="AE556" s="12" t="b">
        <f t="shared" si="224"/>
        <v>1</v>
      </c>
      <c r="AF556" s="12" t="b">
        <f t="shared" si="225"/>
        <v>1</v>
      </c>
    </row>
    <row r="557" spans="1:32" s="44" customFormat="1" ht="15.75" customHeight="1">
      <c r="A557" s="285"/>
      <c r="B557" s="182" t="s">
        <v>131</v>
      </c>
      <c r="C557" s="36" t="s">
        <v>34</v>
      </c>
      <c r="D557" s="37" t="s">
        <v>104</v>
      </c>
      <c r="E557" s="37" t="s">
        <v>104</v>
      </c>
      <c r="F557" s="37" t="s">
        <v>413</v>
      </c>
      <c r="G557" s="37" t="s">
        <v>207</v>
      </c>
      <c r="H557" s="183">
        <v>250</v>
      </c>
      <c r="I557" s="183">
        <v>250</v>
      </c>
      <c r="J557" s="183">
        <v>250</v>
      </c>
      <c r="K557" s="183">
        <v>250</v>
      </c>
      <c r="L557" s="183">
        <v>250</v>
      </c>
      <c r="M557" s="183">
        <v>250</v>
      </c>
      <c r="N557" s="43">
        <f t="shared" si="217"/>
        <v>0</v>
      </c>
      <c r="O557" s="183">
        <v>250</v>
      </c>
      <c r="P557" s="183">
        <v>250</v>
      </c>
      <c r="Q557" s="183">
        <v>250</v>
      </c>
      <c r="R557" s="472">
        <f t="shared" si="238"/>
        <v>0</v>
      </c>
      <c r="S557" s="472">
        <f t="shared" si="239"/>
        <v>0</v>
      </c>
      <c r="T557" s="472">
        <f t="shared" si="240"/>
        <v>0</v>
      </c>
      <c r="U557" s="182" t="s">
        <v>131</v>
      </c>
      <c r="V557" s="36" t="s">
        <v>34</v>
      </c>
      <c r="W557" s="37" t="s">
        <v>104</v>
      </c>
      <c r="X557" s="37" t="s">
        <v>104</v>
      </c>
      <c r="Y557" s="37" t="s">
        <v>413</v>
      </c>
      <c r="Z557" s="37" t="s">
        <v>207</v>
      </c>
      <c r="AA557" s="12" t="b">
        <f t="shared" si="220"/>
        <v>1</v>
      </c>
      <c r="AB557" s="12" t="b">
        <f t="shared" si="221"/>
        <v>1</v>
      </c>
      <c r="AC557" s="12" t="b">
        <f t="shared" si="222"/>
        <v>1</v>
      </c>
      <c r="AD557" s="12" t="b">
        <f t="shared" si="223"/>
        <v>1</v>
      </c>
      <c r="AE557" s="12" t="b">
        <f t="shared" si="224"/>
        <v>1</v>
      </c>
      <c r="AF557" s="12" t="b">
        <f t="shared" si="225"/>
        <v>1</v>
      </c>
    </row>
    <row r="558" spans="1:32" s="44" customFormat="1" ht="15.75" customHeight="1">
      <c r="A558" s="285"/>
      <c r="B558" s="23" t="s">
        <v>132</v>
      </c>
      <c r="C558" s="36" t="s">
        <v>34</v>
      </c>
      <c r="D558" s="37" t="s">
        <v>104</v>
      </c>
      <c r="E558" s="37" t="s">
        <v>104</v>
      </c>
      <c r="F558" s="37" t="s">
        <v>413</v>
      </c>
      <c r="G558" s="37" t="s">
        <v>171</v>
      </c>
      <c r="H558" s="183">
        <f>2023-730</f>
        <v>1293</v>
      </c>
      <c r="I558" s="183">
        <f>2023-730</f>
        <v>1293</v>
      </c>
      <c r="J558" s="183">
        <f>2023-730</f>
        <v>1293</v>
      </c>
      <c r="K558" s="183">
        <v>1293</v>
      </c>
      <c r="L558" s="183">
        <v>1293</v>
      </c>
      <c r="M558" s="183">
        <v>1293</v>
      </c>
      <c r="N558" s="43">
        <f t="shared" si="217"/>
        <v>0</v>
      </c>
      <c r="O558" s="183">
        <v>1293</v>
      </c>
      <c r="P558" s="183">
        <v>1293</v>
      </c>
      <c r="Q558" s="183">
        <v>1293</v>
      </c>
      <c r="R558" s="472">
        <f t="shared" si="238"/>
        <v>0</v>
      </c>
      <c r="S558" s="472">
        <f t="shared" si="239"/>
        <v>0</v>
      </c>
      <c r="T558" s="472">
        <f t="shared" si="240"/>
        <v>0</v>
      </c>
      <c r="U558" s="23" t="s">
        <v>132</v>
      </c>
      <c r="V558" s="36" t="s">
        <v>34</v>
      </c>
      <c r="W558" s="37" t="s">
        <v>104</v>
      </c>
      <c r="X558" s="37" t="s">
        <v>104</v>
      </c>
      <c r="Y558" s="37" t="s">
        <v>413</v>
      </c>
      <c r="Z558" s="37" t="s">
        <v>171</v>
      </c>
      <c r="AA558" s="12" t="b">
        <f t="shared" si="220"/>
        <v>1</v>
      </c>
      <c r="AB558" s="12" t="b">
        <f t="shared" si="221"/>
        <v>1</v>
      </c>
      <c r="AC558" s="12" t="b">
        <f t="shared" si="222"/>
        <v>1</v>
      </c>
      <c r="AD558" s="12" t="b">
        <f t="shared" si="223"/>
        <v>1</v>
      </c>
      <c r="AE558" s="12" t="b">
        <f t="shared" si="224"/>
        <v>1</v>
      </c>
      <c r="AF558" s="12" t="b">
        <f t="shared" si="225"/>
        <v>1</v>
      </c>
    </row>
    <row r="559" spans="1:32" s="44" customFormat="1" ht="15.75" customHeight="1">
      <c r="A559" s="285"/>
      <c r="B559" s="182" t="s">
        <v>993</v>
      </c>
      <c r="C559" s="36" t="s">
        <v>34</v>
      </c>
      <c r="D559" s="37" t="s">
        <v>104</v>
      </c>
      <c r="E559" s="37" t="s">
        <v>104</v>
      </c>
      <c r="F559" s="37" t="s">
        <v>994</v>
      </c>
      <c r="G559" s="37" t="s">
        <v>90</v>
      </c>
      <c r="H559" s="183">
        <f t="shared" ref="H559:J560" si="242">H560</f>
        <v>730</v>
      </c>
      <c r="I559" s="183">
        <f t="shared" si="242"/>
        <v>730</v>
      </c>
      <c r="J559" s="183">
        <f t="shared" si="242"/>
        <v>730</v>
      </c>
      <c r="K559" s="183">
        <v>730</v>
      </c>
      <c r="L559" s="183">
        <v>730</v>
      </c>
      <c r="M559" s="183">
        <v>730</v>
      </c>
      <c r="N559" s="43">
        <f t="shared" si="217"/>
        <v>0</v>
      </c>
      <c r="O559" s="183">
        <v>730</v>
      </c>
      <c r="P559" s="183">
        <v>730</v>
      </c>
      <c r="Q559" s="183">
        <v>730</v>
      </c>
      <c r="R559" s="472">
        <f t="shared" si="238"/>
        <v>0</v>
      </c>
      <c r="S559" s="472">
        <f t="shared" si="239"/>
        <v>0</v>
      </c>
      <c r="T559" s="472">
        <f t="shared" si="240"/>
        <v>0</v>
      </c>
      <c r="U559" s="182" t="s">
        <v>993</v>
      </c>
      <c r="V559" s="36" t="s">
        <v>34</v>
      </c>
      <c r="W559" s="37" t="s">
        <v>104</v>
      </c>
      <c r="X559" s="37" t="s">
        <v>104</v>
      </c>
      <c r="Y559" s="37" t="s">
        <v>994</v>
      </c>
      <c r="Z559" s="37" t="s">
        <v>90</v>
      </c>
      <c r="AA559" s="12" t="b">
        <f t="shared" si="220"/>
        <v>1</v>
      </c>
      <c r="AB559" s="12" t="b">
        <f t="shared" si="221"/>
        <v>1</v>
      </c>
      <c r="AC559" s="12" t="b">
        <f t="shared" si="222"/>
        <v>1</v>
      </c>
      <c r="AD559" s="12" t="b">
        <f t="shared" si="223"/>
        <v>1</v>
      </c>
      <c r="AE559" s="12" t="b">
        <f t="shared" si="224"/>
        <v>1</v>
      </c>
      <c r="AF559" s="12" t="b">
        <f t="shared" si="225"/>
        <v>1</v>
      </c>
    </row>
    <row r="560" spans="1:32" s="44" customFormat="1" ht="15.75" customHeight="1">
      <c r="A560" s="285"/>
      <c r="B560" s="182" t="s">
        <v>191</v>
      </c>
      <c r="C560" s="36" t="s">
        <v>34</v>
      </c>
      <c r="D560" s="37" t="s">
        <v>104</v>
      </c>
      <c r="E560" s="37" t="s">
        <v>104</v>
      </c>
      <c r="F560" s="37" t="s">
        <v>995</v>
      </c>
      <c r="G560" s="37" t="s">
        <v>90</v>
      </c>
      <c r="H560" s="183">
        <f t="shared" si="242"/>
        <v>730</v>
      </c>
      <c r="I560" s="183">
        <f t="shared" si="242"/>
        <v>730</v>
      </c>
      <c r="J560" s="183">
        <f t="shared" si="242"/>
        <v>730</v>
      </c>
      <c r="K560" s="183">
        <v>730</v>
      </c>
      <c r="L560" s="183">
        <v>730</v>
      </c>
      <c r="M560" s="183">
        <v>730</v>
      </c>
      <c r="N560" s="43">
        <f t="shared" si="217"/>
        <v>0</v>
      </c>
      <c r="O560" s="183">
        <v>730</v>
      </c>
      <c r="P560" s="183">
        <v>730</v>
      </c>
      <c r="Q560" s="183">
        <v>730</v>
      </c>
      <c r="R560" s="472">
        <f t="shared" si="238"/>
        <v>0</v>
      </c>
      <c r="S560" s="472">
        <f t="shared" si="239"/>
        <v>0</v>
      </c>
      <c r="T560" s="472">
        <f t="shared" si="240"/>
        <v>0</v>
      </c>
      <c r="U560" s="182" t="s">
        <v>191</v>
      </c>
      <c r="V560" s="36" t="s">
        <v>34</v>
      </c>
      <c r="W560" s="37" t="s">
        <v>104</v>
      </c>
      <c r="X560" s="37" t="s">
        <v>104</v>
      </c>
      <c r="Y560" s="37" t="s">
        <v>995</v>
      </c>
      <c r="Z560" s="37" t="s">
        <v>90</v>
      </c>
      <c r="AA560" s="12" t="b">
        <f t="shared" si="220"/>
        <v>1</v>
      </c>
      <c r="AB560" s="12" t="b">
        <f t="shared" si="221"/>
        <v>1</v>
      </c>
      <c r="AC560" s="12" t="b">
        <f t="shared" si="222"/>
        <v>1</v>
      </c>
      <c r="AD560" s="12" t="b">
        <f t="shared" si="223"/>
        <v>1</v>
      </c>
      <c r="AE560" s="12" t="b">
        <f t="shared" si="224"/>
        <v>1</v>
      </c>
      <c r="AF560" s="12" t="b">
        <f t="shared" si="225"/>
        <v>1</v>
      </c>
    </row>
    <row r="561" spans="1:32" s="44" customFormat="1" ht="15.75" customHeight="1">
      <c r="A561" s="285"/>
      <c r="B561" s="23" t="s">
        <v>132</v>
      </c>
      <c r="C561" s="36" t="s">
        <v>34</v>
      </c>
      <c r="D561" s="37" t="s">
        <v>104</v>
      </c>
      <c r="E561" s="37" t="s">
        <v>104</v>
      </c>
      <c r="F561" s="37" t="s">
        <v>995</v>
      </c>
      <c r="G561" s="37" t="s">
        <v>171</v>
      </c>
      <c r="H561" s="183">
        <v>730</v>
      </c>
      <c r="I561" s="183">
        <v>730</v>
      </c>
      <c r="J561" s="183">
        <v>730</v>
      </c>
      <c r="K561" s="183">
        <v>730</v>
      </c>
      <c r="L561" s="183">
        <v>730</v>
      </c>
      <c r="M561" s="183">
        <v>730</v>
      </c>
      <c r="N561" s="43">
        <f t="shared" si="217"/>
        <v>0</v>
      </c>
      <c r="O561" s="183">
        <v>730</v>
      </c>
      <c r="P561" s="183">
        <v>730</v>
      </c>
      <c r="Q561" s="183">
        <v>730</v>
      </c>
      <c r="R561" s="472">
        <f t="shared" si="238"/>
        <v>0</v>
      </c>
      <c r="S561" s="472">
        <f t="shared" si="239"/>
        <v>0</v>
      </c>
      <c r="T561" s="472">
        <f t="shared" si="240"/>
        <v>0</v>
      </c>
      <c r="U561" s="23" t="s">
        <v>132</v>
      </c>
      <c r="V561" s="36" t="s">
        <v>34</v>
      </c>
      <c r="W561" s="37" t="s">
        <v>104</v>
      </c>
      <c r="X561" s="37" t="s">
        <v>104</v>
      </c>
      <c r="Y561" s="37" t="s">
        <v>995</v>
      </c>
      <c r="Z561" s="37" t="s">
        <v>171</v>
      </c>
      <c r="AA561" s="12" t="b">
        <f t="shared" si="220"/>
        <v>1</v>
      </c>
      <c r="AB561" s="12" t="b">
        <f t="shared" si="221"/>
        <v>1</v>
      </c>
      <c r="AC561" s="12" t="b">
        <f t="shared" si="222"/>
        <v>1</v>
      </c>
      <c r="AD561" s="12" t="b">
        <f t="shared" si="223"/>
        <v>1</v>
      </c>
      <c r="AE561" s="12" t="b">
        <f t="shared" si="224"/>
        <v>1</v>
      </c>
      <c r="AF561" s="12" t="b">
        <f t="shared" si="225"/>
        <v>1</v>
      </c>
    </row>
    <row r="562" spans="1:32" s="44" customFormat="1" ht="15.75" customHeight="1">
      <c r="A562" s="285"/>
      <c r="B562" s="182" t="s">
        <v>958</v>
      </c>
      <c r="C562" s="36" t="s">
        <v>34</v>
      </c>
      <c r="D562" s="37" t="s">
        <v>104</v>
      </c>
      <c r="E562" s="37" t="s">
        <v>104</v>
      </c>
      <c r="F562" s="37" t="s">
        <v>414</v>
      </c>
      <c r="G562" s="37" t="s">
        <v>90</v>
      </c>
      <c r="H562" s="183">
        <f>H563</f>
        <v>9284.57</v>
      </c>
      <c r="I562" s="183">
        <f t="shared" ref="I562:J562" si="243">I563</f>
        <v>9286.24</v>
      </c>
      <c r="J562" s="183">
        <f t="shared" si="243"/>
        <v>9287.98</v>
      </c>
      <c r="K562" s="183">
        <v>9284.57</v>
      </c>
      <c r="L562" s="183">
        <v>9286.24</v>
      </c>
      <c r="M562" s="183">
        <v>9287.98</v>
      </c>
      <c r="N562" s="43">
        <f t="shared" si="217"/>
        <v>0</v>
      </c>
      <c r="O562" s="183">
        <v>9277.0499999999993</v>
      </c>
      <c r="P562" s="183">
        <v>9278.7199999999993</v>
      </c>
      <c r="Q562" s="183">
        <v>9280.4599999999991</v>
      </c>
      <c r="R562" s="472">
        <f t="shared" si="238"/>
        <v>7.5200000000004366</v>
      </c>
      <c r="S562" s="472">
        <f t="shared" si="239"/>
        <v>7.5200000000004366</v>
      </c>
      <c r="T562" s="472">
        <f t="shared" si="240"/>
        <v>7.5200000000004366</v>
      </c>
      <c r="U562" s="182" t="s">
        <v>958</v>
      </c>
      <c r="V562" s="36" t="s">
        <v>34</v>
      </c>
      <c r="W562" s="37" t="s">
        <v>104</v>
      </c>
      <c r="X562" s="37" t="s">
        <v>104</v>
      </c>
      <c r="Y562" s="37" t="s">
        <v>414</v>
      </c>
      <c r="Z562" s="37" t="s">
        <v>90</v>
      </c>
      <c r="AA562" s="12" t="b">
        <f t="shared" si="220"/>
        <v>1</v>
      </c>
      <c r="AB562" s="12" t="b">
        <f t="shared" si="221"/>
        <v>1</v>
      </c>
      <c r="AC562" s="12" t="b">
        <f t="shared" si="222"/>
        <v>1</v>
      </c>
      <c r="AD562" s="12" t="b">
        <f t="shared" si="223"/>
        <v>1</v>
      </c>
      <c r="AE562" s="12" t="b">
        <f t="shared" si="224"/>
        <v>1</v>
      </c>
      <c r="AF562" s="12" t="b">
        <f t="shared" si="225"/>
        <v>1</v>
      </c>
    </row>
    <row r="563" spans="1:32" s="44" customFormat="1" ht="15.75" customHeight="1">
      <c r="A563" s="285"/>
      <c r="B563" s="182" t="s">
        <v>254</v>
      </c>
      <c r="C563" s="36" t="s">
        <v>34</v>
      </c>
      <c r="D563" s="37" t="s">
        <v>104</v>
      </c>
      <c r="E563" s="37" t="s">
        <v>104</v>
      </c>
      <c r="F563" s="37" t="s">
        <v>960</v>
      </c>
      <c r="G563" s="37" t="s">
        <v>90</v>
      </c>
      <c r="H563" s="183">
        <f t="shared" ref="H563:J563" si="244">H564</f>
        <v>9284.57</v>
      </c>
      <c r="I563" s="183">
        <f t="shared" si="244"/>
        <v>9286.24</v>
      </c>
      <c r="J563" s="183">
        <f t="shared" si="244"/>
        <v>9287.98</v>
      </c>
      <c r="K563" s="183">
        <v>9284.57</v>
      </c>
      <c r="L563" s="183">
        <v>9286.24</v>
      </c>
      <c r="M563" s="183">
        <v>9287.98</v>
      </c>
      <c r="N563" s="43">
        <f t="shared" si="217"/>
        <v>0</v>
      </c>
      <c r="O563" s="183">
        <v>9277.0499999999993</v>
      </c>
      <c r="P563" s="183">
        <v>9278.7199999999993</v>
      </c>
      <c r="Q563" s="183">
        <v>9280.4599999999991</v>
      </c>
      <c r="R563" s="472">
        <f t="shared" si="238"/>
        <v>7.5200000000004366</v>
      </c>
      <c r="S563" s="472">
        <f t="shared" si="239"/>
        <v>7.5200000000004366</v>
      </c>
      <c r="T563" s="472">
        <f t="shared" si="240"/>
        <v>7.5200000000004366</v>
      </c>
      <c r="U563" s="182" t="s">
        <v>254</v>
      </c>
      <c r="V563" s="36" t="s">
        <v>34</v>
      </c>
      <c r="W563" s="37" t="s">
        <v>104</v>
      </c>
      <c r="X563" s="37" t="s">
        <v>104</v>
      </c>
      <c r="Y563" s="37" t="s">
        <v>960</v>
      </c>
      <c r="Z563" s="37" t="s">
        <v>90</v>
      </c>
      <c r="AA563" s="12" t="b">
        <f t="shared" si="220"/>
        <v>1</v>
      </c>
      <c r="AB563" s="12" t="b">
        <f t="shared" si="221"/>
        <v>1</v>
      </c>
      <c r="AC563" s="12" t="b">
        <f t="shared" si="222"/>
        <v>1</v>
      </c>
      <c r="AD563" s="12" t="b">
        <f t="shared" si="223"/>
        <v>1</v>
      </c>
      <c r="AE563" s="12" t="b">
        <f t="shared" si="224"/>
        <v>1</v>
      </c>
      <c r="AF563" s="12" t="b">
        <f t="shared" si="225"/>
        <v>1</v>
      </c>
    </row>
    <row r="564" spans="1:32" s="44" customFormat="1" ht="15.75" customHeight="1">
      <c r="A564" s="285"/>
      <c r="B564" s="23" t="s">
        <v>132</v>
      </c>
      <c r="C564" s="36" t="s">
        <v>34</v>
      </c>
      <c r="D564" s="37" t="s">
        <v>104</v>
      </c>
      <c r="E564" s="37" t="s">
        <v>104</v>
      </c>
      <c r="F564" s="37" t="s">
        <v>960</v>
      </c>
      <c r="G564" s="37" t="s">
        <v>171</v>
      </c>
      <c r="H564" s="183">
        <f>6117.83+3159.22+7.52</f>
        <v>9284.57</v>
      </c>
      <c r="I564" s="183">
        <f>6119.5+3159.22+7.52</f>
        <v>9286.24</v>
      </c>
      <c r="J564" s="183">
        <f>6121.24+3159.22+7.52</f>
        <v>9287.98</v>
      </c>
      <c r="K564" s="183">
        <v>9284.57</v>
      </c>
      <c r="L564" s="183">
        <v>9286.24</v>
      </c>
      <c r="M564" s="183">
        <v>9287.98</v>
      </c>
      <c r="N564" s="43">
        <f t="shared" si="217"/>
        <v>0</v>
      </c>
      <c r="O564" s="183">
        <v>9277.0499999999993</v>
      </c>
      <c r="P564" s="183">
        <v>9278.7199999999993</v>
      </c>
      <c r="Q564" s="183">
        <v>9280.4599999999991</v>
      </c>
      <c r="R564" s="472">
        <f t="shared" si="238"/>
        <v>7.5200000000004366</v>
      </c>
      <c r="S564" s="472">
        <f t="shared" si="239"/>
        <v>7.5200000000004366</v>
      </c>
      <c r="T564" s="472">
        <f t="shared" si="240"/>
        <v>7.5200000000004366</v>
      </c>
      <c r="U564" s="23" t="s">
        <v>132</v>
      </c>
      <c r="V564" s="36" t="s">
        <v>34</v>
      </c>
      <c r="W564" s="37" t="s">
        <v>104</v>
      </c>
      <c r="X564" s="37" t="s">
        <v>104</v>
      </c>
      <c r="Y564" s="37" t="s">
        <v>960</v>
      </c>
      <c r="Z564" s="37" t="s">
        <v>171</v>
      </c>
      <c r="AA564" s="12" t="b">
        <f t="shared" si="220"/>
        <v>1</v>
      </c>
      <c r="AB564" s="12" t="b">
        <f t="shared" si="221"/>
        <v>1</v>
      </c>
      <c r="AC564" s="12" t="b">
        <f t="shared" si="222"/>
        <v>1</v>
      </c>
      <c r="AD564" s="12" t="b">
        <f t="shared" si="223"/>
        <v>1</v>
      </c>
      <c r="AE564" s="12" t="b">
        <f t="shared" si="224"/>
        <v>1</v>
      </c>
      <c r="AF564" s="12" t="b">
        <f t="shared" si="225"/>
        <v>1</v>
      </c>
    </row>
    <row r="565" spans="1:32" s="12" customFormat="1" ht="15.75" customHeight="1">
      <c r="A565" s="285"/>
      <c r="B565" s="22" t="s">
        <v>667</v>
      </c>
      <c r="C565" s="36" t="s">
        <v>34</v>
      </c>
      <c r="D565" s="37" t="s">
        <v>104</v>
      </c>
      <c r="E565" s="37" t="s">
        <v>104</v>
      </c>
      <c r="F565" s="56" t="s">
        <v>255</v>
      </c>
      <c r="G565" s="56" t="s">
        <v>90</v>
      </c>
      <c r="H565" s="69">
        <f t="shared" ref="H565:J567" si="245">H566</f>
        <v>390</v>
      </c>
      <c r="I565" s="69">
        <f t="shared" si="245"/>
        <v>390</v>
      </c>
      <c r="J565" s="69">
        <f t="shared" si="245"/>
        <v>390</v>
      </c>
      <c r="K565" s="69">
        <v>390</v>
      </c>
      <c r="L565" s="69">
        <v>390</v>
      </c>
      <c r="M565" s="69">
        <v>390</v>
      </c>
      <c r="N565" s="43">
        <f t="shared" si="217"/>
        <v>0</v>
      </c>
      <c r="O565" s="69">
        <v>390</v>
      </c>
      <c r="P565" s="69">
        <v>390</v>
      </c>
      <c r="Q565" s="69">
        <v>390</v>
      </c>
      <c r="R565" s="472">
        <f t="shared" si="238"/>
        <v>0</v>
      </c>
      <c r="S565" s="472">
        <f t="shared" si="239"/>
        <v>0</v>
      </c>
      <c r="T565" s="472">
        <f t="shared" si="240"/>
        <v>0</v>
      </c>
      <c r="U565" s="22" t="s">
        <v>667</v>
      </c>
      <c r="V565" s="36" t="s">
        <v>34</v>
      </c>
      <c r="W565" s="37" t="s">
        <v>104</v>
      </c>
      <c r="X565" s="37" t="s">
        <v>104</v>
      </c>
      <c r="Y565" s="56" t="s">
        <v>255</v>
      </c>
      <c r="Z565" s="56" t="s">
        <v>90</v>
      </c>
      <c r="AA565" s="12" t="b">
        <f t="shared" si="220"/>
        <v>1</v>
      </c>
      <c r="AB565" s="12" t="b">
        <f t="shared" si="221"/>
        <v>1</v>
      </c>
      <c r="AC565" s="12" t="b">
        <f t="shared" si="222"/>
        <v>1</v>
      </c>
      <c r="AD565" s="12" t="b">
        <f t="shared" si="223"/>
        <v>1</v>
      </c>
      <c r="AE565" s="12" t="b">
        <f t="shared" si="224"/>
        <v>1</v>
      </c>
      <c r="AF565" s="12" t="b">
        <f t="shared" si="225"/>
        <v>1</v>
      </c>
    </row>
    <row r="566" spans="1:32" s="12" customFormat="1" ht="15.75" customHeight="1">
      <c r="A566" s="285"/>
      <c r="B566" s="182" t="s">
        <v>814</v>
      </c>
      <c r="C566" s="36" t="s">
        <v>34</v>
      </c>
      <c r="D566" s="37" t="s">
        <v>104</v>
      </c>
      <c r="E566" s="37" t="s">
        <v>104</v>
      </c>
      <c r="F566" s="56" t="s">
        <v>256</v>
      </c>
      <c r="G566" s="56" t="s">
        <v>90</v>
      </c>
      <c r="H566" s="60">
        <f t="shared" si="245"/>
        <v>390</v>
      </c>
      <c r="I566" s="60">
        <f t="shared" si="245"/>
        <v>390</v>
      </c>
      <c r="J566" s="60">
        <f t="shared" si="245"/>
        <v>390</v>
      </c>
      <c r="K566" s="60">
        <v>390</v>
      </c>
      <c r="L566" s="60">
        <v>390</v>
      </c>
      <c r="M566" s="60">
        <v>390</v>
      </c>
      <c r="N566" s="43">
        <f t="shared" si="217"/>
        <v>0</v>
      </c>
      <c r="O566" s="60">
        <v>390</v>
      </c>
      <c r="P566" s="60">
        <v>390</v>
      </c>
      <c r="Q566" s="60">
        <v>390</v>
      </c>
      <c r="R566" s="472">
        <f t="shared" si="238"/>
        <v>0</v>
      </c>
      <c r="S566" s="472">
        <f t="shared" si="239"/>
        <v>0</v>
      </c>
      <c r="T566" s="472">
        <f t="shared" si="240"/>
        <v>0</v>
      </c>
      <c r="U566" s="182" t="s">
        <v>814</v>
      </c>
      <c r="V566" s="36" t="s">
        <v>34</v>
      </c>
      <c r="W566" s="37" t="s">
        <v>104</v>
      </c>
      <c r="X566" s="37" t="s">
        <v>104</v>
      </c>
      <c r="Y566" s="56" t="s">
        <v>256</v>
      </c>
      <c r="Z566" s="56" t="s">
        <v>90</v>
      </c>
      <c r="AA566" s="12" t="b">
        <f t="shared" si="220"/>
        <v>1</v>
      </c>
      <c r="AB566" s="12" t="b">
        <f t="shared" si="221"/>
        <v>1</v>
      </c>
      <c r="AC566" s="12" t="b">
        <f t="shared" si="222"/>
        <v>1</v>
      </c>
      <c r="AD566" s="12" t="b">
        <f t="shared" si="223"/>
        <v>1</v>
      </c>
      <c r="AE566" s="12" t="b">
        <f t="shared" si="224"/>
        <v>1</v>
      </c>
      <c r="AF566" s="12" t="b">
        <f t="shared" si="225"/>
        <v>1</v>
      </c>
    </row>
    <row r="567" spans="1:32" s="12" customFormat="1" ht="15.75" customHeight="1">
      <c r="A567" s="285"/>
      <c r="B567" s="182" t="s">
        <v>817</v>
      </c>
      <c r="C567" s="36" t="s">
        <v>34</v>
      </c>
      <c r="D567" s="37" t="s">
        <v>104</v>
      </c>
      <c r="E567" s="37" t="s">
        <v>104</v>
      </c>
      <c r="F567" s="36" t="s">
        <v>468</v>
      </c>
      <c r="G567" s="56" t="s">
        <v>90</v>
      </c>
      <c r="H567" s="183">
        <f t="shared" si="245"/>
        <v>390</v>
      </c>
      <c r="I567" s="183">
        <f t="shared" si="245"/>
        <v>390</v>
      </c>
      <c r="J567" s="183">
        <f t="shared" si="245"/>
        <v>390</v>
      </c>
      <c r="K567" s="183">
        <v>390</v>
      </c>
      <c r="L567" s="183">
        <v>390</v>
      </c>
      <c r="M567" s="183">
        <v>390</v>
      </c>
      <c r="N567" s="43">
        <f t="shared" si="217"/>
        <v>0</v>
      </c>
      <c r="O567" s="183">
        <v>390</v>
      </c>
      <c r="P567" s="183">
        <v>390</v>
      </c>
      <c r="Q567" s="183">
        <v>390</v>
      </c>
      <c r="R567" s="472">
        <f t="shared" si="238"/>
        <v>0</v>
      </c>
      <c r="S567" s="472">
        <f t="shared" si="239"/>
        <v>0</v>
      </c>
      <c r="T567" s="472">
        <f t="shared" si="240"/>
        <v>0</v>
      </c>
      <c r="U567" s="182" t="s">
        <v>817</v>
      </c>
      <c r="V567" s="36" t="s">
        <v>34</v>
      </c>
      <c r="W567" s="37" t="s">
        <v>104</v>
      </c>
      <c r="X567" s="37" t="s">
        <v>104</v>
      </c>
      <c r="Y567" s="36" t="s">
        <v>468</v>
      </c>
      <c r="Z567" s="56" t="s">
        <v>90</v>
      </c>
      <c r="AA567" s="12" t="b">
        <f t="shared" si="220"/>
        <v>1</v>
      </c>
      <c r="AB567" s="12" t="b">
        <f t="shared" si="221"/>
        <v>1</v>
      </c>
      <c r="AC567" s="12" t="b">
        <f t="shared" si="222"/>
        <v>1</v>
      </c>
      <c r="AD567" s="12" t="b">
        <f t="shared" si="223"/>
        <v>1</v>
      </c>
      <c r="AE567" s="12" t="b">
        <f t="shared" si="224"/>
        <v>1</v>
      </c>
      <c r="AF567" s="12" t="b">
        <f t="shared" si="225"/>
        <v>1</v>
      </c>
    </row>
    <row r="568" spans="1:32" s="12" customFormat="1" ht="15.75" customHeight="1">
      <c r="A568" s="285"/>
      <c r="B568" s="54" t="s">
        <v>158</v>
      </c>
      <c r="C568" s="36" t="s">
        <v>34</v>
      </c>
      <c r="D568" s="37" t="s">
        <v>104</v>
      </c>
      <c r="E568" s="37" t="s">
        <v>104</v>
      </c>
      <c r="F568" s="36" t="s">
        <v>499</v>
      </c>
      <c r="G568" s="56" t="s">
        <v>90</v>
      </c>
      <c r="H568" s="60">
        <f>SUM(H569:H569)</f>
        <v>390</v>
      </c>
      <c r="I568" s="60">
        <f>SUM(I569:I569)</f>
        <v>390</v>
      </c>
      <c r="J568" s="60">
        <f>SUM(J569:J569)</f>
        <v>390</v>
      </c>
      <c r="K568" s="60">
        <v>390</v>
      </c>
      <c r="L568" s="60">
        <v>390</v>
      </c>
      <c r="M568" s="60">
        <v>390</v>
      </c>
      <c r="N568" s="43">
        <f t="shared" si="217"/>
        <v>0</v>
      </c>
      <c r="O568" s="60">
        <v>390</v>
      </c>
      <c r="P568" s="60">
        <v>390</v>
      </c>
      <c r="Q568" s="60">
        <v>390</v>
      </c>
      <c r="R568" s="472">
        <f t="shared" si="238"/>
        <v>0</v>
      </c>
      <c r="S568" s="472">
        <f t="shared" si="239"/>
        <v>0</v>
      </c>
      <c r="T568" s="472">
        <f t="shared" si="240"/>
        <v>0</v>
      </c>
      <c r="U568" s="54" t="s">
        <v>158</v>
      </c>
      <c r="V568" s="36" t="s">
        <v>34</v>
      </c>
      <c r="W568" s="37" t="s">
        <v>104</v>
      </c>
      <c r="X568" s="37" t="s">
        <v>104</v>
      </c>
      <c r="Y568" s="36" t="s">
        <v>499</v>
      </c>
      <c r="Z568" s="56" t="s">
        <v>90</v>
      </c>
      <c r="AA568" s="12" t="b">
        <f t="shared" si="220"/>
        <v>1</v>
      </c>
      <c r="AB568" s="12" t="b">
        <f t="shared" si="221"/>
        <v>1</v>
      </c>
      <c r="AC568" s="12" t="b">
        <f t="shared" si="222"/>
        <v>1</v>
      </c>
      <c r="AD568" s="12" t="b">
        <f t="shared" si="223"/>
        <v>1</v>
      </c>
      <c r="AE568" s="12" t="b">
        <f t="shared" si="224"/>
        <v>1</v>
      </c>
      <c r="AF568" s="12" t="b">
        <f t="shared" si="225"/>
        <v>1</v>
      </c>
    </row>
    <row r="569" spans="1:32" s="12" customFormat="1" ht="15.75" customHeight="1">
      <c r="A569" s="285"/>
      <c r="B569" s="23" t="s">
        <v>132</v>
      </c>
      <c r="C569" s="36" t="s">
        <v>34</v>
      </c>
      <c r="D569" s="37" t="s">
        <v>104</v>
      </c>
      <c r="E569" s="37" t="s">
        <v>104</v>
      </c>
      <c r="F569" s="36" t="s">
        <v>499</v>
      </c>
      <c r="G569" s="36" t="s">
        <v>171</v>
      </c>
      <c r="H569" s="183">
        <v>390</v>
      </c>
      <c r="I569" s="183">
        <v>390</v>
      </c>
      <c r="J569" s="183">
        <v>390</v>
      </c>
      <c r="K569" s="183">
        <v>390</v>
      </c>
      <c r="L569" s="183">
        <v>390</v>
      </c>
      <c r="M569" s="183">
        <v>390</v>
      </c>
      <c r="N569" s="43">
        <f t="shared" si="217"/>
        <v>0</v>
      </c>
      <c r="O569" s="183">
        <v>390</v>
      </c>
      <c r="P569" s="183">
        <v>390</v>
      </c>
      <c r="Q569" s="183">
        <v>390</v>
      </c>
      <c r="R569" s="472">
        <f t="shared" si="238"/>
        <v>0</v>
      </c>
      <c r="S569" s="472">
        <f t="shared" si="239"/>
        <v>0</v>
      </c>
      <c r="T569" s="472">
        <f t="shared" si="240"/>
        <v>0</v>
      </c>
      <c r="U569" s="23" t="s">
        <v>132</v>
      </c>
      <c r="V569" s="36" t="s">
        <v>34</v>
      </c>
      <c r="W569" s="37" t="s">
        <v>104</v>
      </c>
      <c r="X569" s="37" t="s">
        <v>104</v>
      </c>
      <c r="Y569" s="36" t="s">
        <v>499</v>
      </c>
      <c r="Z569" s="36" t="s">
        <v>171</v>
      </c>
      <c r="AA569" s="12" t="b">
        <f t="shared" si="220"/>
        <v>1</v>
      </c>
      <c r="AB569" s="12" t="b">
        <f t="shared" si="221"/>
        <v>1</v>
      </c>
      <c r="AC569" s="12" t="b">
        <f t="shared" si="222"/>
        <v>1</v>
      </c>
      <c r="AD569" s="12" t="b">
        <f t="shared" si="223"/>
        <v>1</v>
      </c>
      <c r="AE569" s="12" t="b">
        <f t="shared" si="224"/>
        <v>1</v>
      </c>
      <c r="AF569" s="12" t="b">
        <f t="shared" si="225"/>
        <v>1</v>
      </c>
    </row>
    <row r="570" spans="1:32" s="12" customFormat="1" ht="15.75" customHeight="1">
      <c r="A570" s="285"/>
      <c r="B570" s="182" t="s">
        <v>1165</v>
      </c>
      <c r="C570" s="36" t="s">
        <v>34</v>
      </c>
      <c r="D570" s="37" t="s">
        <v>104</v>
      </c>
      <c r="E570" s="37" t="s">
        <v>104</v>
      </c>
      <c r="F570" s="36" t="s">
        <v>323</v>
      </c>
      <c r="G570" s="36" t="s">
        <v>90</v>
      </c>
      <c r="H570" s="183">
        <f t="shared" ref="H570:J570" si="246">H571</f>
        <v>24</v>
      </c>
      <c r="I570" s="183">
        <f t="shared" si="246"/>
        <v>24</v>
      </c>
      <c r="J570" s="183">
        <f t="shared" si="246"/>
        <v>24</v>
      </c>
      <c r="K570" s="183">
        <v>24</v>
      </c>
      <c r="L570" s="183">
        <v>24</v>
      </c>
      <c r="M570" s="183">
        <v>24</v>
      </c>
      <c r="N570" s="43">
        <f t="shared" si="217"/>
        <v>0</v>
      </c>
      <c r="O570" s="183">
        <v>24</v>
      </c>
      <c r="P570" s="183">
        <v>24</v>
      </c>
      <c r="Q570" s="183">
        <v>24</v>
      </c>
      <c r="R570" s="472">
        <f t="shared" si="238"/>
        <v>0</v>
      </c>
      <c r="S570" s="472">
        <f t="shared" si="239"/>
        <v>0</v>
      </c>
      <c r="T570" s="472">
        <f t="shared" si="240"/>
        <v>0</v>
      </c>
      <c r="U570" s="182" t="s">
        <v>1165</v>
      </c>
      <c r="V570" s="36" t="s">
        <v>34</v>
      </c>
      <c r="W570" s="37" t="s">
        <v>104</v>
      </c>
      <c r="X570" s="37" t="s">
        <v>104</v>
      </c>
      <c r="Y570" s="36" t="s">
        <v>323</v>
      </c>
      <c r="Z570" s="36" t="s">
        <v>90</v>
      </c>
      <c r="AA570" s="12" t="b">
        <f t="shared" si="220"/>
        <v>1</v>
      </c>
      <c r="AB570" s="12" t="b">
        <f t="shared" si="221"/>
        <v>1</v>
      </c>
      <c r="AC570" s="12" t="b">
        <f t="shared" si="222"/>
        <v>1</v>
      </c>
      <c r="AD570" s="12" t="b">
        <f t="shared" si="223"/>
        <v>1</v>
      </c>
      <c r="AE570" s="12" t="b">
        <f t="shared" si="224"/>
        <v>1</v>
      </c>
      <c r="AF570" s="12" t="b">
        <f t="shared" si="225"/>
        <v>1</v>
      </c>
    </row>
    <row r="571" spans="1:32" s="12" customFormat="1" ht="15.75" customHeight="1">
      <c r="A571" s="285"/>
      <c r="B571" s="182" t="s">
        <v>1214</v>
      </c>
      <c r="C571" s="36" t="s">
        <v>34</v>
      </c>
      <c r="D571" s="37" t="s">
        <v>104</v>
      </c>
      <c r="E571" s="37" t="s">
        <v>104</v>
      </c>
      <c r="F571" s="36" t="s">
        <v>324</v>
      </c>
      <c r="G571" s="36" t="s">
        <v>90</v>
      </c>
      <c r="H571" s="183">
        <f t="shared" ref="H571:J571" si="247">H572</f>
        <v>24</v>
      </c>
      <c r="I571" s="183">
        <f t="shared" si="247"/>
        <v>24</v>
      </c>
      <c r="J571" s="183">
        <f t="shared" si="247"/>
        <v>24</v>
      </c>
      <c r="K571" s="183">
        <v>24</v>
      </c>
      <c r="L571" s="183">
        <v>24</v>
      </c>
      <c r="M571" s="183">
        <v>24</v>
      </c>
      <c r="N571" s="43">
        <f t="shared" si="217"/>
        <v>0</v>
      </c>
      <c r="O571" s="183">
        <v>24</v>
      </c>
      <c r="P571" s="183">
        <v>24</v>
      </c>
      <c r="Q571" s="183">
        <v>24</v>
      </c>
      <c r="R571" s="472">
        <f t="shared" si="238"/>
        <v>0</v>
      </c>
      <c r="S571" s="472">
        <f t="shared" si="239"/>
        <v>0</v>
      </c>
      <c r="T571" s="472">
        <f t="shared" si="240"/>
        <v>0</v>
      </c>
      <c r="U571" s="495" t="s">
        <v>1214</v>
      </c>
      <c r="V571" s="36" t="s">
        <v>34</v>
      </c>
      <c r="W571" s="37" t="s">
        <v>104</v>
      </c>
      <c r="X571" s="37" t="s">
        <v>104</v>
      </c>
      <c r="Y571" s="36" t="s">
        <v>324</v>
      </c>
      <c r="Z571" s="36" t="s">
        <v>90</v>
      </c>
      <c r="AA571" s="12" t="b">
        <f t="shared" si="220"/>
        <v>1</v>
      </c>
      <c r="AB571" s="12" t="b">
        <f t="shared" si="221"/>
        <v>1</v>
      </c>
      <c r="AC571" s="12" t="b">
        <f t="shared" si="222"/>
        <v>1</v>
      </c>
      <c r="AD571" s="12" t="b">
        <f t="shared" si="223"/>
        <v>1</v>
      </c>
      <c r="AE571" s="12" t="b">
        <f t="shared" si="224"/>
        <v>1</v>
      </c>
      <c r="AF571" s="12" t="b">
        <f t="shared" si="225"/>
        <v>1</v>
      </c>
    </row>
    <row r="572" spans="1:32" s="12" customFormat="1" ht="15.75" customHeight="1">
      <c r="A572" s="285"/>
      <c r="B572" s="23" t="s">
        <v>1128</v>
      </c>
      <c r="C572" s="36" t="s">
        <v>34</v>
      </c>
      <c r="D572" s="37" t="s">
        <v>104</v>
      </c>
      <c r="E572" s="37" t="s">
        <v>104</v>
      </c>
      <c r="F572" s="36" t="s">
        <v>526</v>
      </c>
      <c r="G572" s="36" t="s">
        <v>90</v>
      </c>
      <c r="H572" s="183">
        <f t="shared" ref="H572:J572" si="248">H573</f>
        <v>24</v>
      </c>
      <c r="I572" s="183">
        <f t="shared" si="248"/>
        <v>24</v>
      </c>
      <c r="J572" s="183">
        <f t="shared" si="248"/>
        <v>24</v>
      </c>
      <c r="K572" s="183">
        <v>24</v>
      </c>
      <c r="L572" s="183">
        <v>24</v>
      </c>
      <c r="M572" s="183">
        <v>24</v>
      </c>
      <c r="N572" s="43">
        <f t="shared" ref="N572:N635" si="249">K572-H572</f>
        <v>0</v>
      </c>
      <c r="O572" s="183">
        <v>24</v>
      </c>
      <c r="P572" s="183">
        <v>24</v>
      </c>
      <c r="Q572" s="183">
        <v>24</v>
      </c>
      <c r="R572" s="472">
        <f t="shared" si="238"/>
        <v>0</v>
      </c>
      <c r="S572" s="472">
        <f t="shared" si="239"/>
        <v>0</v>
      </c>
      <c r="T572" s="472">
        <f t="shared" si="240"/>
        <v>0</v>
      </c>
      <c r="U572" s="23" t="s">
        <v>1128</v>
      </c>
      <c r="V572" s="36" t="s">
        <v>34</v>
      </c>
      <c r="W572" s="37" t="s">
        <v>104</v>
      </c>
      <c r="X572" s="37" t="s">
        <v>104</v>
      </c>
      <c r="Y572" s="36" t="s">
        <v>526</v>
      </c>
      <c r="Z572" s="36" t="s">
        <v>90</v>
      </c>
      <c r="AA572" s="12" t="b">
        <f t="shared" si="220"/>
        <v>1</v>
      </c>
      <c r="AB572" s="12" t="b">
        <f t="shared" si="221"/>
        <v>1</v>
      </c>
      <c r="AC572" s="12" t="b">
        <f t="shared" si="222"/>
        <v>1</v>
      </c>
      <c r="AD572" s="12" t="b">
        <f t="shared" si="223"/>
        <v>1</v>
      </c>
      <c r="AE572" s="12" t="b">
        <f t="shared" si="224"/>
        <v>1</v>
      </c>
      <c r="AF572" s="12" t="b">
        <f t="shared" si="225"/>
        <v>1</v>
      </c>
    </row>
    <row r="573" spans="1:32" s="12" customFormat="1" ht="15.75" customHeight="1">
      <c r="A573" s="285"/>
      <c r="B573" s="23" t="s">
        <v>202</v>
      </c>
      <c r="C573" s="36" t="s">
        <v>34</v>
      </c>
      <c r="D573" s="37" t="s">
        <v>104</v>
      </c>
      <c r="E573" s="37" t="s">
        <v>104</v>
      </c>
      <c r="F573" s="36" t="s">
        <v>527</v>
      </c>
      <c r="G573" s="36" t="s">
        <v>90</v>
      </c>
      <c r="H573" s="183">
        <f t="shared" ref="H573:J573" si="250">H574</f>
        <v>24</v>
      </c>
      <c r="I573" s="183">
        <f t="shared" si="250"/>
        <v>24</v>
      </c>
      <c r="J573" s="183">
        <f t="shared" si="250"/>
        <v>24</v>
      </c>
      <c r="K573" s="183">
        <v>24</v>
      </c>
      <c r="L573" s="183">
        <v>24</v>
      </c>
      <c r="M573" s="183">
        <v>24</v>
      </c>
      <c r="N573" s="43">
        <f t="shared" si="249"/>
        <v>0</v>
      </c>
      <c r="O573" s="183">
        <v>24</v>
      </c>
      <c r="P573" s="183">
        <v>24</v>
      </c>
      <c r="Q573" s="183">
        <v>24</v>
      </c>
      <c r="R573" s="472">
        <f t="shared" si="238"/>
        <v>0</v>
      </c>
      <c r="S573" s="472">
        <f t="shared" si="239"/>
        <v>0</v>
      </c>
      <c r="T573" s="472">
        <f t="shared" si="240"/>
        <v>0</v>
      </c>
      <c r="U573" s="23" t="s">
        <v>202</v>
      </c>
      <c r="V573" s="36" t="s">
        <v>34</v>
      </c>
      <c r="W573" s="37" t="s">
        <v>104</v>
      </c>
      <c r="X573" s="37" t="s">
        <v>104</v>
      </c>
      <c r="Y573" s="36" t="s">
        <v>527</v>
      </c>
      <c r="Z573" s="36" t="s">
        <v>90</v>
      </c>
      <c r="AA573" s="12" t="b">
        <f t="shared" ref="AA573:AA622" si="251">B573=U573</f>
        <v>1</v>
      </c>
      <c r="AB573" s="12" t="b">
        <f t="shared" ref="AB573:AB622" si="252">C573=V573</f>
        <v>1</v>
      </c>
      <c r="AC573" s="12" t="b">
        <f t="shared" ref="AC573:AC622" si="253">D573=W573</f>
        <v>1</v>
      </c>
      <c r="AD573" s="12" t="b">
        <f t="shared" ref="AD573:AD622" si="254">E573=X573</f>
        <v>1</v>
      </c>
      <c r="AE573" s="12" t="b">
        <f t="shared" ref="AE573:AE622" si="255">F573=Y573</f>
        <v>1</v>
      </c>
      <c r="AF573" s="12" t="b">
        <f t="shared" ref="AF573:AF622" si="256">G573=Z573</f>
        <v>1</v>
      </c>
    </row>
    <row r="574" spans="1:32" s="12" customFormat="1" ht="15.75" customHeight="1">
      <c r="A574" s="285"/>
      <c r="B574" s="182" t="s">
        <v>132</v>
      </c>
      <c r="C574" s="36" t="s">
        <v>34</v>
      </c>
      <c r="D574" s="37" t="s">
        <v>104</v>
      </c>
      <c r="E574" s="37" t="s">
        <v>104</v>
      </c>
      <c r="F574" s="36" t="s">
        <v>527</v>
      </c>
      <c r="G574" s="36" t="s">
        <v>171</v>
      </c>
      <c r="H574" s="183">
        <v>24</v>
      </c>
      <c r="I574" s="183">
        <v>24</v>
      </c>
      <c r="J574" s="183">
        <v>24</v>
      </c>
      <c r="K574" s="183">
        <v>24</v>
      </c>
      <c r="L574" s="183">
        <v>24</v>
      </c>
      <c r="M574" s="183">
        <v>24</v>
      </c>
      <c r="N574" s="43">
        <f t="shared" si="249"/>
        <v>0</v>
      </c>
      <c r="O574" s="183">
        <v>24</v>
      </c>
      <c r="P574" s="183">
        <v>24</v>
      </c>
      <c r="Q574" s="183">
        <v>24</v>
      </c>
      <c r="R574" s="472">
        <f t="shared" si="238"/>
        <v>0</v>
      </c>
      <c r="S574" s="472">
        <f t="shared" si="239"/>
        <v>0</v>
      </c>
      <c r="T574" s="472">
        <f t="shared" si="240"/>
        <v>0</v>
      </c>
      <c r="U574" s="182" t="s">
        <v>132</v>
      </c>
      <c r="V574" s="36" t="s">
        <v>34</v>
      </c>
      <c r="W574" s="37" t="s">
        <v>104</v>
      </c>
      <c r="X574" s="37" t="s">
        <v>104</v>
      </c>
      <c r="Y574" s="36" t="s">
        <v>527</v>
      </c>
      <c r="Z574" s="36" t="s">
        <v>171</v>
      </c>
      <c r="AA574" s="12" t="b">
        <f t="shared" si="251"/>
        <v>1</v>
      </c>
      <c r="AB574" s="12" t="b">
        <f t="shared" si="252"/>
        <v>1</v>
      </c>
      <c r="AC574" s="12" t="b">
        <f t="shared" si="253"/>
        <v>1</v>
      </c>
      <c r="AD574" s="12" t="b">
        <f t="shared" si="254"/>
        <v>1</v>
      </c>
      <c r="AE574" s="12" t="b">
        <f t="shared" si="255"/>
        <v>1</v>
      </c>
      <c r="AF574" s="12" t="b">
        <f t="shared" si="256"/>
        <v>1</v>
      </c>
    </row>
    <row r="575" spans="1:32" s="12" customFormat="1" ht="15.75" customHeight="1">
      <c r="A575" s="285"/>
      <c r="B575" s="28" t="s">
        <v>123</v>
      </c>
      <c r="C575" s="29" t="s">
        <v>34</v>
      </c>
      <c r="D575" s="30" t="s">
        <v>82</v>
      </c>
      <c r="E575" s="30" t="s">
        <v>83</v>
      </c>
      <c r="F575" s="30" t="s">
        <v>223</v>
      </c>
      <c r="G575" s="30" t="s">
        <v>90</v>
      </c>
      <c r="H575" s="31">
        <f>H576+H640</f>
        <v>438814.75</v>
      </c>
      <c r="I575" s="31">
        <f>I576+I640</f>
        <v>423631.48000000004</v>
      </c>
      <c r="J575" s="31">
        <f>J576+J640</f>
        <v>424513.44</v>
      </c>
      <c r="K575" s="31">
        <v>440372.3</v>
      </c>
      <c r="L575" s="31">
        <v>423817.65000000008</v>
      </c>
      <c r="M575" s="31">
        <v>422039.34</v>
      </c>
      <c r="N575" s="43">
        <f t="shared" si="249"/>
        <v>1557.5499999999884</v>
      </c>
      <c r="O575" s="31">
        <v>440372.3</v>
      </c>
      <c r="P575" s="31">
        <v>423817.65000000008</v>
      </c>
      <c r="Q575" s="31">
        <v>422039.34</v>
      </c>
      <c r="R575" s="472">
        <f t="shared" si="238"/>
        <v>-1557.5499999999884</v>
      </c>
      <c r="S575" s="472">
        <f t="shared" si="239"/>
        <v>-186.17000000004191</v>
      </c>
      <c r="T575" s="472">
        <f t="shared" si="240"/>
        <v>2474.0999999999767</v>
      </c>
      <c r="U575" s="28" t="s">
        <v>123</v>
      </c>
      <c r="V575" s="29" t="s">
        <v>34</v>
      </c>
      <c r="W575" s="30" t="s">
        <v>82</v>
      </c>
      <c r="X575" s="30" t="s">
        <v>83</v>
      </c>
      <c r="Y575" s="30" t="s">
        <v>223</v>
      </c>
      <c r="Z575" s="30" t="s">
        <v>90</v>
      </c>
      <c r="AA575" s="12" t="b">
        <f t="shared" si="251"/>
        <v>1</v>
      </c>
      <c r="AB575" s="12" t="b">
        <f t="shared" si="252"/>
        <v>1</v>
      </c>
      <c r="AC575" s="12" t="b">
        <f t="shared" si="253"/>
        <v>1</v>
      </c>
      <c r="AD575" s="12" t="b">
        <f t="shared" si="254"/>
        <v>1</v>
      </c>
      <c r="AE575" s="12" t="b">
        <f t="shared" si="255"/>
        <v>1</v>
      </c>
      <c r="AF575" s="12" t="b">
        <f t="shared" si="256"/>
        <v>1</v>
      </c>
    </row>
    <row r="576" spans="1:32" s="12" customFormat="1" ht="15.75" customHeight="1">
      <c r="A576" s="285"/>
      <c r="B576" s="32" t="s">
        <v>35</v>
      </c>
      <c r="C576" s="33" t="s">
        <v>34</v>
      </c>
      <c r="D576" s="34" t="s">
        <v>82</v>
      </c>
      <c r="E576" s="34" t="s">
        <v>98</v>
      </c>
      <c r="F576" s="34" t="s">
        <v>223</v>
      </c>
      <c r="G576" s="34" t="s">
        <v>90</v>
      </c>
      <c r="H576" s="35">
        <f>H577+H584+H629+H620+H635</f>
        <v>418480.74</v>
      </c>
      <c r="I576" s="35">
        <f>I577+I584+I629+I620+I635</f>
        <v>403285.78</v>
      </c>
      <c r="J576" s="35">
        <f>J577+J584+J629+J620+J635</f>
        <v>404155.58</v>
      </c>
      <c r="K576" s="35">
        <v>420038.29</v>
      </c>
      <c r="L576" s="35">
        <v>403471.95000000007</v>
      </c>
      <c r="M576" s="35">
        <v>401681.48000000004</v>
      </c>
      <c r="N576" s="43">
        <f t="shared" si="249"/>
        <v>1557.5499999999884</v>
      </c>
      <c r="O576" s="35">
        <v>420038.29</v>
      </c>
      <c r="P576" s="35">
        <v>403471.95000000007</v>
      </c>
      <c r="Q576" s="35">
        <v>401681.48000000004</v>
      </c>
      <c r="R576" s="472">
        <f t="shared" si="238"/>
        <v>-1557.5499999999884</v>
      </c>
      <c r="S576" s="472">
        <f t="shared" si="239"/>
        <v>-186.17000000004191</v>
      </c>
      <c r="T576" s="472">
        <f t="shared" si="240"/>
        <v>2474.0999999999767</v>
      </c>
      <c r="U576" s="32" t="s">
        <v>35</v>
      </c>
      <c r="V576" s="33" t="s">
        <v>34</v>
      </c>
      <c r="W576" s="34" t="s">
        <v>82</v>
      </c>
      <c r="X576" s="34" t="s">
        <v>98</v>
      </c>
      <c r="Y576" s="34" t="s">
        <v>223</v>
      </c>
      <c r="Z576" s="34" t="s">
        <v>90</v>
      </c>
      <c r="AA576" s="12" t="b">
        <f t="shared" si="251"/>
        <v>1</v>
      </c>
      <c r="AB576" s="12" t="b">
        <f t="shared" si="252"/>
        <v>1</v>
      </c>
      <c r="AC576" s="12" t="b">
        <f t="shared" si="253"/>
        <v>1</v>
      </c>
      <c r="AD576" s="12" t="b">
        <f t="shared" si="254"/>
        <v>1</v>
      </c>
      <c r="AE576" s="12" t="b">
        <f t="shared" si="255"/>
        <v>1</v>
      </c>
      <c r="AF576" s="12" t="b">
        <f t="shared" si="256"/>
        <v>1</v>
      </c>
    </row>
    <row r="577" spans="1:32" s="12" customFormat="1" ht="15.75" customHeight="1">
      <c r="A577" s="285"/>
      <c r="B577" s="23" t="s">
        <v>1166</v>
      </c>
      <c r="C577" s="36" t="s">
        <v>34</v>
      </c>
      <c r="D577" s="37" t="s">
        <v>82</v>
      </c>
      <c r="E577" s="37" t="s">
        <v>98</v>
      </c>
      <c r="F577" s="37" t="s">
        <v>296</v>
      </c>
      <c r="G577" s="37" t="s">
        <v>90</v>
      </c>
      <c r="H577" s="183">
        <f t="shared" ref="H577:J578" si="257">H578</f>
        <v>10941.99</v>
      </c>
      <c r="I577" s="183">
        <f t="shared" si="257"/>
        <v>0</v>
      </c>
      <c r="J577" s="183">
        <f t="shared" si="257"/>
        <v>0</v>
      </c>
      <c r="K577" s="183">
        <v>10941.99</v>
      </c>
      <c r="L577" s="183">
        <v>0</v>
      </c>
      <c r="M577" s="183">
        <v>0</v>
      </c>
      <c r="N577" s="43">
        <f t="shared" si="249"/>
        <v>0</v>
      </c>
      <c r="O577" s="35">
        <v>10941.99</v>
      </c>
      <c r="P577" s="35">
        <v>0</v>
      </c>
      <c r="Q577" s="35">
        <v>0</v>
      </c>
      <c r="R577" s="472"/>
      <c r="S577" s="472"/>
      <c r="T577" s="472"/>
      <c r="U577" s="23" t="s">
        <v>1166</v>
      </c>
      <c r="V577" s="36" t="s">
        <v>34</v>
      </c>
      <c r="W577" s="37" t="s">
        <v>82</v>
      </c>
      <c r="X577" s="37" t="s">
        <v>98</v>
      </c>
      <c r="Y577" s="37" t="s">
        <v>296</v>
      </c>
      <c r="Z577" s="37" t="s">
        <v>90</v>
      </c>
      <c r="AA577" s="12" t="b">
        <f t="shared" si="251"/>
        <v>1</v>
      </c>
      <c r="AB577" s="12" t="b">
        <f t="shared" si="252"/>
        <v>1</v>
      </c>
      <c r="AC577" s="12" t="b">
        <f t="shared" si="253"/>
        <v>1</v>
      </c>
      <c r="AD577" s="12" t="b">
        <f t="shared" si="254"/>
        <v>1</v>
      </c>
      <c r="AE577" s="12" t="b">
        <f t="shared" si="255"/>
        <v>1</v>
      </c>
      <c r="AF577" s="12" t="b">
        <f t="shared" si="256"/>
        <v>1</v>
      </c>
    </row>
    <row r="578" spans="1:32" s="12" customFormat="1" ht="15.75" customHeight="1">
      <c r="A578" s="285"/>
      <c r="B578" s="182" t="s">
        <v>836</v>
      </c>
      <c r="C578" s="36" t="s">
        <v>34</v>
      </c>
      <c r="D578" s="37" t="s">
        <v>82</v>
      </c>
      <c r="E578" s="37" t="s">
        <v>98</v>
      </c>
      <c r="F578" s="37" t="s">
        <v>404</v>
      </c>
      <c r="G578" s="37" t="s">
        <v>90</v>
      </c>
      <c r="H578" s="183">
        <f t="shared" si="257"/>
        <v>10941.99</v>
      </c>
      <c r="I578" s="183">
        <f t="shared" si="257"/>
        <v>0</v>
      </c>
      <c r="J578" s="183">
        <f t="shared" si="257"/>
        <v>0</v>
      </c>
      <c r="K578" s="183">
        <v>10941.99</v>
      </c>
      <c r="L578" s="183">
        <v>0</v>
      </c>
      <c r="M578" s="183">
        <v>0</v>
      </c>
      <c r="N578" s="43">
        <f t="shared" si="249"/>
        <v>0</v>
      </c>
      <c r="O578" s="35">
        <v>10941.99</v>
      </c>
      <c r="P578" s="35">
        <v>0</v>
      </c>
      <c r="Q578" s="35">
        <v>0</v>
      </c>
      <c r="R578" s="472"/>
      <c r="S578" s="472"/>
      <c r="T578" s="472"/>
      <c r="U578" s="182" t="s">
        <v>836</v>
      </c>
      <c r="V578" s="36" t="s">
        <v>34</v>
      </c>
      <c r="W578" s="37" t="s">
        <v>82</v>
      </c>
      <c r="X578" s="37" t="s">
        <v>98</v>
      </c>
      <c r="Y578" s="37" t="s">
        <v>404</v>
      </c>
      <c r="Z578" s="37" t="s">
        <v>90</v>
      </c>
      <c r="AA578" s="12" t="b">
        <f t="shared" si="251"/>
        <v>1</v>
      </c>
      <c r="AB578" s="12" t="b">
        <f t="shared" si="252"/>
        <v>1</v>
      </c>
      <c r="AC578" s="12" t="b">
        <f t="shared" si="253"/>
        <v>1</v>
      </c>
      <c r="AD578" s="12" t="b">
        <f t="shared" si="254"/>
        <v>1</v>
      </c>
      <c r="AE578" s="12" t="b">
        <f t="shared" si="255"/>
        <v>1</v>
      </c>
      <c r="AF578" s="12" t="b">
        <f t="shared" si="256"/>
        <v>1</v>
      </c>
    </row>
    <row r="579" spans="1:32" s="12" customFormat="1" ht="15.75" customHeight="1">
      <c r="A579" s="285"/>
      <c r="B579" s="178" t="s">
        <v>405</v>
      </c>
      <c r="C579" s="36" t="s">
        <v>34</v>
      </c>
      <c r="D579" s="37" t="s">
        <v>82</v>
      </c>
      <c r="E579" s="37" t="s">
        <v>98</v>
      </c>
      <c r="F579" s="37" t="s">
        <v>555</v>
      </c>
      <c r="G579" s="37" t="s">
        <v>90</v>
      </c>
      <c r="H579" s="183">
        <f>H580+H582</f>
        <v>10941.99</v>
      </c>
      <c r="I579" s="183">
        <f>I580+I582</f>
        <v>0</v>
      </c>
      <c r="J579" s="183">
        <f>J580+J582</f>
        <v>0</v>
      </c>
      <c r="K579" s="183">
        <v>10941.99</v>
      </c>
      <c r="L579" s="183">
        <v>0</v>
      </c>
      <c r="M579" s="183">
        <v>0</v>
      </c>
      <c r="N579" s="43">
        <f t="shared" si="249"/>
        <v>0</v>
      </c>
      <c r="O579" s="35">
        <v>10941.99</v>
      </c>
      <c r="P579" s="35">
        <v>0</v>
      </c>
      <c r="Q579" s="35">
        <v>0</v>
      </c>
      <c r="R579" s="472"/>
      <c r="S579" s="472"/>
      <c r="T579" s="472"/>
      <c r="U579" s="178" t="s">
        <v>405</v>
      </c>
      <c r="V579" s="36" t="s">
        <v>34</v>
      </c>
      <c r="W579" s="37" t="s">
        <v>82</v>
      </c>
      <c r="X579" s="37" t="s">
        <v>98</v>
      </c>
      <c r="Y579" s="37" t="s">
        <v>555</v>
      </c>
      <c r="Z579" s="37" t="s">
        <v>90</v>
      </c>
      <c r="AA579" s="12" t="b">
        <f t="shared" si="251"/>
        <v>1</v>
      </c>
      <c r="AB579" s="12" t="b">
        <f t="shared" si="252"/>
        <v>1</v>
      </c>
      <c r="AC579" s="12" t="b">
        <f t="shared" si="253"/>
        <v>1</v>
      </c>
      <c r="AD579" s="12" t="b">
        <f t="shared" si="254"/>
        <v>1</v>
      </c>
      <c r="AE579" s="12" t="b">
        <f t="shared" si="255"/>
        <v>1</v>
      </c>
      <c r="AF579" s="12" t="b">
        <f t="shared" si="256"/>
        <v>1</v>
      </c>
    </row>
    <row r="580" spans="1:32" s="12" customFormat="1" ht="15.75" customHeight="1">
      <c r="A580" s="285" t="s">
        <v>899</v>
      </c>
      <c r="B580" s="182" t="s">
        <v>1147</v>
      </c>
      <c r="C580" s="36" t="s">
        <v>34</v>
      </c>
      <c r="D580" s="37" t="s">
        <v>82</v>
      </c>
      <c r="E580" s="37" t="s">
        <v>98</v>
      </c>
      <c r="F580" s="37" t="s">
        <v>1140</v>
      </c>
      <c r="G580" s="37" t="s">
        <v>90</v>
      </c>
      <c r="H580" s="183">
        <f>H581</f>
        <v>563.99</v>
      </c>
      <c r="I580" s="183"/>
      <c r="J580" s="183"/>
      <c r="K580" s="183">
        <v>563.99</v>
      </c>
      <c r="L580" s="183"/>
      <c r="M580" s="183"/>
      <c r="N580" s="43">
        <f t="shared" si="249"/>
        <v>0</v>
      </c>
      <c r="O580" s="35">
        <v>563.99</v>
      </c>
      <c r="P580" s="35"/>
      <c r="Q580" s="35"/>
      <c r="R580" s="472"/>
      <c r="S580" s="472"/>
      <c r="T580" s="472"/>
      <c r="U580" s="182" t="s">
        <v>1147</v>
      </c>
      <c r="V580" s="36" t="s">
        <v>34</v>
      </c>
      <c r="W580" s="37" t="s">
        <v>82</v>
      </c>
      <c r="X580" s="37" t="s">
        <v>98</v>
      </c>
      <c r="Y580" s="37" t="s">
        <v>1140</v>
      </c>
      <c r="Z580" s="37" t="s">
        <v>90</v>
      </c>
      <c r="AA580" s="12" t="b">
        <f t="shared" si="251"/>
        <v>1</v>
      </c>
      <c r="AB580" s="12" t="b">
        <f t="shared" si="252"/>
        <v>1</v>
      </c>
      <c r="AC580" s="12" t="b">
        <f t="shared" si="253"/>
        <v>1</v>
      </c>
      <c r="AD580" s="12" t="b">
        <f t="shared" si="254"/>
        <v>1</v>
      </c>
      <c r="AE580" s="12" t="b">
        <f t="shared" si="255"/>
        <v>1</v>
      </c>
      <c r="AF580" s="12" t="b">
        <f t="shared" si="256"/>
        <v>1</v>
      </c>
    </row>
    <row r="581" spans="1:32" s="12" customFormat="1" ht="15.75" customHeight="1">
      <c r="A581" s="285"/>
      <c r="B581" s="182" t="s">
        <v>133</v>
      </c>
      <c r="C581" s="36" t="s">
        <v>34</v>
      </c>
      <c r="D581" s="37" t="s">
        <v>82</v>
      </c>
      <c r="E581" s="37" t="s">
        <v>98</v>
      </c>
      <c r="F581" s="37" t="s">
        <v>1140</v>
      </c>
      <c r="G581" s="37" t="s">
        <v>19</v>
      </c>
      <c r="H581" s="183">
        <v>563.99</v>
      </c>
      <c r="I581" s="183"/>
      <c r="J581" s="183"/>
      <c r="K581" s="518">
        <v>563.99</v>
      </c>
      <c r="L581" s="518"/>
      <c r="M581" s="518"/>
      <c r="N581" s="43">
        <f t="shared" si="249"/>
        <v>0</v>
      </c>
      <c r="O581" s="35">
        <v>563.99</v>
      </c>
      <c r="P581" s="35"/>
      <c r="Q581" s="35"/>
      <c r="R581" s="472"/>
      <c r="S581" s="472"/>
      <c r="T581" s="472"/>
      <c r="U581" s="182" t="s">
        <v>145</v>
      </c>
      <c r="V581" s="36" t="s">
        <v>34</v>
      </c>
      <c r="W581" s="37" t="s">
        <v>82</v>
      </c>
      <c r="X581" s="37" t="s">
        <v>98</v>
      </c>
      <c r="Y581" s="37" t="s">
        <v>1140</v>
      </c>
      <c r="Z581" s="37" t="s">
        <v>153</v>
      </c>
      <c r="AA581" s="12" t="b">
        <f t="shared" si="251"/>
        <v>0</v>
      </c>
      <c r="AB581" s="12" t="b">
        <f t="shared" si="252"/>
        <v>1</v>
      </c>
      <c r="AC581" s="12" t="b">
        <f t="shared" si="253"/>
        <v>1</v>
      </c>
      <c r="AD581" s="12" t="b">
        <f t="shared" si="254"/>
        <v>1</v>
      </c>
      <c r="AE581" s="12" t="b">
        <f t="shared" si="255"/>
        <v>1</v>
      </c>
      <c r="AF581" s="12" t="b">
        <f t="shared" si="256"/>
        <v>0</v>
      </c>
    </row>
    <row r="582" spans="1:32" s="12" customFormat="1" ht="15.75" customHeight="1">
      <c r="A582" s="285"/>
      <c r="B582" s="182" t="s">
        <v>1146</v>
      </c>
      <c r="C582" s="36" t="s">
        <v>34</v>
      </c>
      <c r="D582" s="37" t="s">
        <v>82</v>
      </c>
      <c r="E582" s="37" t="s">
        <v>98</v>
      </c>
      <c r="F582" s="37" t="s">
        <v>1141</v>
      </c>
      <c r="G582" s="37" t="s">
        <v>90</v>
      </c>
      <c r="H582" s="183">
        <f>H583</f>
        <v>10378</v>
      </c>
      <c r="I582" s="183"/>
      <c r="J582" s="183"/>
      <c r="K582" s="183">
        <v>10378</v>
      </c>
      <c r="L582" s="183"/>
      <c r="M582" s="183"/>
      <c r="N582" s="43">
        <f t="shared" si="249"/>
        <v>0</v>
      </c>
      <c r="O582" s="35">
        <v>10378</v>
      </c>
      <c r="P582" s="35"/>
      <c r="Q582" s="35"/>
      <c r="R582" s="472"/>
      <c r="S582" s="472"/>
      <c r="T582" s="472"/>
      <c r="U582" s="182" t="s">
        <v>1146</v>
      </c>
      <c r="V582" s="36" t="s">
        <v>34</v>
      </c>
      <c r="W582" s="37" t="s">
        <v>82</v>
      </c>
      <c r="X582" s="37" t="s">
        <v>98</v>
      </c>
      <c r="Y582" s="37" t="s">
        <v>1141</v>
      </c>
      <c r="Z582" s="37" t="s">
        <v>90</v>
      </c>
      <c r="AA582" s="12" t="b">
        <f t="shared" si="251"/>
        <v>1</v>
      </c>
      <c r="AB582" s="12" t="b">
        <f t="shared" si="252"/>
        <v>1</v>
      </c>
      <c r="AC582" s="12" t="b">
        <f t="shared" si="253"/>
        <v>1</v>
      </c>
      <c r="AD582" s="12" t="b">
        <f t="shared" si="254"/>
        <v>1</v>
      </c>
      <c r="AE582" s="12" t="b">
        <f t="shared" si="255"/>
        <v>1</v>
      </c>
      <c r="AF582" s="12" t="b">
        <f t="shared" si="256"/>
        <v>1</v>
      </c>
    </row>
    <row r="583" spans="1:32" s="12" customFormat="1" ht="15.75" customHeight="1">
      <c r="A583" s="285"/>
      <c r="B583" s="182" t="s">
        <v>133</v>
      </c>
      <c r="C583" s="36" t="s">
        <v>34</v>
      </c>
      <c r="D583" s="37" t="s">
        <v>82</v>
      </c>
      <c r="E583" s="37" t="s">
        <v>98</v>
      </c>
      <c r="F583" s="37" t="s">
        <v>1141</v>
      </c>
      <c r="G583" s="37" t="s">
        <v>19</v>
      </c>
      <c r="H583" s="183">
        <v>10378</v>
      </c>
      <c r="I583" s="183"/>
      <c r="J583" s="183"/>
      <c r="K583" s="518">
        <v>10378</v>
      </c>
      <c r="L583" s="518"/>
      <c r="M583" s="518"/>
      <c r="N583" s="43">
        <f t="shared" si="249"/>
        <v>0</v>
      </c>
      <c r="O583" s="35">
        <v>10378</v>
      </c>
      <c r="P583" s="35"/>
      <c r="Q583" s="35"/>
      <c r="R583" s="472"/>
      <c r="S583" s="472"/>
      <c r="T583" s="472"/>
      <c r="U583" s="182" t="s">
        <v>145</v>
      </c>
      <c r="V583" s="36" t="s">
        <v>34</v>
      </c>
      <c r="W583" s="37" t="s">
        <v>82</v>
      </c>
      <c r="X583" s="37" t="s">
        <v>98</v>
      </c>
      <c r="Y583" s="37" t="s">
        <v>1141</v>
      </c>
      <c r="Z583" s="37" t="s">
        <v>153</v>
      </c>
      <c r="AA583" s="12" t="b">
        <f t="shared" si="251"/>
        <v>0</v>
      </c>
      <c r="AB583" s="12" t="b">
        <f t="shared" si="252"/>
        <v>1</v>
      </c>
      <c r="AC583" s="12" t="b">
        <f t="shared" si="253"/>
        <v>1</v>
      </c>
      <c r="AD583" s="12" t="b">
        <f t="shared" si="254"/>
        <v>1</v>
      </c>
      <c r="AE583" s="12" t="b">
        <f t="shared" si="255"/>
        <v>1</v>
      </c>
      <c r="AF583" s="12" t="b">
        <f t="shared" si="256"/>
        <v>0</v>
      </c>
    </row>
    <row r="584" spans="1:32" s="12" customFormat="1" ht="15.75" customHeight="1">
      <c r="A584" s="285"/>
      <c r="B584" s="182" t="s">
        <v>656</v>
      </c>
      <c r="C584" s="36" t="s">
        <v>34</v>
      </c>
      <c r="D584" s="37" t="s">
        <v>82</v>
      </c>
      <c r="E584" s="37" t="s">
        <v>98</v>
      </c>
      <c r="F584" s="37" t="s">
        <v>279</v>
      </c>
      <c r="G584" s="37" t="s">
        <v>90</v>
      </c>
      <c r="H584" s="183">
        <f>H585+H590</f>
        <v>389940.73</v>
      </c>
      <c r="I584" s="183">
        <f>I585+I590</f>
        <v>385687.76</v>
      </c>
      <c r="J584" s="183">
        <f>J585+J590</f>
        <v>386557.56</v>
      </c>
      <c r="K584" s="183">
        <v>391498.27999999997</v>
      </c>
      <c r="L584" s="183">
        <v>385873.93000000005</v>
      </c>
      <c r="M584" s="183">
        <v>384083.46</v>
      </c>
      <c r="N584" s="43">
        <f t="shared" si="249"/>
        <v>1557.5499999999884</v>
      </c>
      <c r="O584" s="183">
        <v>391498.27999999997</v>
      </c>
      <c r="P584" s="183">
        <v>385873.93000000005</v>
      </c>
      <c r="Q584" s="183">
        <v>384083.46</v>
      </c>
      <c r="R584" s="472">
        <f t="shared" ref="R584:R616" si="258">H584-O584</f>
        <v>-1557.5499999999884</v>
      </c>
      <c r="S584" s="472">
        <f t="shared" ref="S584:S616" si="259">I584-P584</f>
        <v>-186.17000000004191</v>
      </c>
      <c r="T584" s="472">
        <f t="shared" ref="T584:T616" si="260">J584-Q584</f>
        <v>2474.0999999999767</v>
      </c>
      <c r="U584" s="182" t="s">
        <v>656</v>
      </c>
      <c r="V584" s="36" t="s">
        <v>34</v>
      </c>
      <c r="W584" s="37" t="s">
        <v>82</v>
      </c>
      <c r="X584" s="37" t="s">
        <v>98</v>
      </c>
      <c r="Y584" s="37" t="s">
        <v>279</v>
      </c>
      <c r="Z584" s="37" t="s">
        <v>90</v>
      </c>
      <c r="AA584" s="12" t="b">
        <f t="shared" si="251"/>
        <v>1</v>
      </c>
      <c r="AB584" s="12" t="b">
        <f t="shared" si="252"/>
        <v>1</v>
      </c>
      <c r="AC584" s="12" t="b">
        <f t="shared" si="253"/>
        <v>1</v>
      </c>
      <c r="AD584" s="12" t="b">
        <f t="shared" si="254"/>
        <v>1</v>
      </c>
      <c r="AE584" s="12" t="b">
        <f t="shared" si="255"/>
        <v>1</v>
      </c>
      <c r="AF584" s="12" t="b">
        <f t="shared" si="256"/>
        <v>1</v>
      </c>
    </row>
    <row r="585" spans="1:32" s="12" customFormat="1" ht="15.75" customHeight="1">
      <c r="A585" s="285"/>
      <c r="B585" s="182" t="s">
        <v>217</v>
      </c>
      <c r="C585" s="36" t="s">
        <v>34</v>
      </c>
      <c r="D585" s="37" t="s">
        <v>82</v>
      </c>
      <c r="E585" s="37" t="s">
        <v>98</v>
      </c>
      <c r="F585" s="37" t="s">
        <v>280</v>
      </c>
      <c r="G585" s="37" t="s">
        <v>90</v>
      </c>
      <c r="H585" s="183">
        <f t="shared" ref="H585:J586" si="261">H586</f>
        <v>7247</v>
      </c>
      <c r="I585" s="183">
        <f t="shared" si="261"/>
        <v>7247</v>
      </c>
      <c r="J585" s="183">
        <f t="shared" si="261"/>
        <v>7247</v>
      </c>
      <c r="K585" s="183">
        <v>7247</v>
      </c>
      <c r="L585" s="183">
        <v>7247</v>
      </c>
      <c r="M585" s="183">
        <v>7247</v>
      </c>
      <c r="N585" s="43">
        <f t="shared" si="249"/>
        <v>0</v>
      </c>
      <c r="O585" s="183">
        <v>7247</v>
      </c>
      <c r="P585" s="183">
        <v>7247</v>
      </c>
      <c r="Q585" s="183">
        <v>7247</v>
      </c>
      <c r="R585" s="472">
        <f t="shared" si="258"/>
        <v>0</v>
      </c>
      <c r="S585" s="472">
        <f t="shared" si="259"/>
        <v>0</v>
      </c>
      <c r="T585" s="472">
        <f t="shared" si="260"/>
        <v>0</v>
      </c>
      <c r="U585" s="182" t="s">
        <v>217</v>
      </c>
      <c r="V585" s="36" t="s">
        <v>34</v>
      </c>
      <c r="W585" s="37" t="s">
        <v>82</v>
      </c>
      <c r="X585" s="37" t="s">
        <v>98</v>
      </c>
      <c r="Y585" s="37" t="s">
        <v>280</v>
      </c>
      <c r="Z585" s="37" t="s">
        <v>90</v>
      </c>
      <c r="AA585" s="12" t="b">
        <f t="shared" si="251"/>
        <v>1</v>
      </c>
      <c r="AB585" s="12" t="b">
        <f t="shared" si="252"/>
        <v>1</v>
      </c>
      <c r="AC585" s="12" t="b">
        <f t="shared" si="253"/>
        <v>1</v>
      </c>
      <c r="AD585" s="12" t="b">
        <f t="shared" si="254"/>
        <v>1</v>
      </c>
      <c r="AE585" s="12" t="b">
        <f t="shared" si="255"/>
        <v>1</v>
      </c>
      <c r="AF585" s="12" t="b">
        <f t="shared" si="256"/>
        <v>1</v>
      </c>
    </row>
    <row r="586" spans="1:32" s="12" customFormat="1" ht="15.75" customHeight="1">
      <c r="A586" s="285"/>
      <c r="B586" s="182" t="s">
        <v>523</v>
      </c>
      <c r="C586" s="36" t="s">
        <v>34</v>
      </c>
      <c r="D586" s="37" t="s">
        <v>82</v>
      </c>
      <c r="E586" s="37" t="s">
        <v>98</v>
      </c>
      <c r="F586" s="37" t="s">
        <v>281</v>
      </c>
      <c r="G586" s="37" t="s">
        <v>90</v>
      </c>
      <c r="H586" s="183">
        <f t="shared" si="261"/>
        <v>7247</v>
      </c>
      <c r="I586" s="183">
        <f t="shared" si="261"/>
        <v>7247</v>
      </c>
      <c r="J586" s="183">
        <f t="shared" si="261"/>
        <v>7247</v>
      </c>
      <c r="K586" s="183">
        <v>7247</v>
      </c>
      <c r="L586" s="183">
        <v>7247</v>
      </c>
      <c r="M586" s="183">
        <v>7247</v>
      </c>
      <c r="N586" s="43">
        <f t="shared" si="249"/>
        <v>0</v>
      </c>
      <c r="O586" s="183">
        <v>7247</v>
      </c>
      <c r="P586" s="183">
        <v>7247</v>
      </c>
      <c r="Q586" s="183">
        <v>7247</v>
      </c>
      <c r="R586" s="472">
        <f t="shared" si="258"/>
        <v>0</v>
      </c>
      <c r="S586" s="472">
        <f t="shared" si="259"/>
        <v>0</v>
      </c>
      <c r="T586" s="472">
        <f t="shared" si="260"/>
        <v>0</v>
      </c>
      <c r="U586" s="182" t="s">
        <v>523</v>
      </c>
      <c r="V586" s="36" t="s">
        <v>34</v>
      </c>
      <c r="W586" s="37" t="s">
        <v>82</v>
      </c>
      <c r="X586" s="37" t="s">
        <v>98</v>
      </c>
      <c r="Y586" s="37" t="s">
        <v>281</v>
      </c>
      <c r="Z586" s="37" t="s">
        <v>90</v>
      </c>
      <c r="AA586" s="12" t="b">
        <f t="shared" si="251"/>
        <v>1</v>
      </c>
      <c r="AB586" s="12" t="b">
        <f t="shared" si="252"/>
        <v>1</v>
      </c>
      <c r="AC586" s="12" t="b">
        <f t="shared" si="253"/>
        <v>1</v>
      </c>
      <c r="AD586" s="12" t="b">
        <f t="shared" si="254"/>
        <v>1</v>
      </c>
      <c r="AE586" s="12" t="b">
        <f t="shared" si="255"/>
        <v>1</v>
      </c>
      <c r="AF586" s="12" t="b">
        <f t="shared" si="256"/>
        <v>1</v>
      </c>
    </row>
    <row r="587" spans="1:32" s="12" customFormat="1" ht="15.75" customHeight="1">
      <c r="A587" s="285"/>
      <c r="B587" s="182" t="s">
        <v>189</v>
      </c>
      <c r="C587" s="36" t="s">
        <v>34</v>
      </c>
      <c r="D587" s="37" t="s">
        <v>82</v>
      </c>
      <c r="E587" s="37" t="s">
        <v>98</v>
      </c>
      <c r="F587" s="37" t="s">
        <v>307</v>
      </c>
      <c r="G587" s="37" t="s">
        <v>90</v>
      </c>
      <c r="H587" s="183">
        <f>H588+H589</f>
        <v>7247</v>
      </c>
      <c r="I587" s="183">
        <f>I588+I589</f>
        <v>7247</v>
      </c>
      <c r="J587" s="183">
        <f>J588+J589</f>
        <v>7247</v>
      </c>
      <c r="K587" s="183">
        <v>7247</v>
      </c>
      <c r="L587" s="183">
        <v>7247</v>
      </c>
      <c r="M587" s="183">
        <v>7247</v>
      </c>
      <c r="N587" s="43">
        <f t="shared" si="249"/>
        <v>0</v>
      </c>
      <c r="O587" s="183">
        <v>7247</v>
      </c>
      <c r="P587" s="183">
        <v>7247</v>
      </c>
      <c r="Q587" s="183">
        <v>7247</v>
      </c>
      <c r="R587" s="472">
        <f t="shared" si="258"/>
        <v>0</v>
      </c>
      <c r="S587" s="472">
        <f t="shared" si="259"/>
        <v>0</v>
      </c>
      <c r="T587" s="472">
        <f t="shared" si="260"/>
        <v>0</v>
      </c>
      <c r="U587" s="182" t="s">
        <v>189</v>
      </c>
      <c r="V587" s="36" t="s">
        <v>34</v>
      </c>
      <c r="W587" s="37" t="s">
        <v>82</v>
      </c>
      <c r="X587" s="37" t="s">
        <v>98</v>
      </c>
      <c r="Y587" s="37" t="s">
        <v>307</v>
      </c>
      <c r="Z587" s="37" t="s">
        <v>90</v>
      </c>
      <c r="AA587" s="12" t="b">
        <f t="shared" si="251"/>
        <v>1</v>
      </c>
      <c r="AB587" s="12" t="b">
        <f t="shared" si="252"/>
        <v>1</v>
      </c>
      <c r="AC587" s="12" t="b">
        <f t="shared" si="253"/>
        <v>1</v>
      </c>
      <c r="AD587" s="12" t="b">
        <f t="shared" si="254"/>
        <v>1</v>
      </c>
      <c r="AE587" s="12" t="b">
        <f t="shared" si="255"/>
        <v>1</v>
      </c>
      <c r="AF587" s="12" t="b">
        <f t="shared" si="256"/>
        <v>1</v>
      </c>
    </row>
    <row r="588" spans="1:32" s="12" customFormat="1" ht="15.75" customHeight="1">
      <c r="A588" s="285"/>
      <c r="B588" s="23" t="s">
        <v>132</v>
      </c>
      <c r="C588" s="36" t="s">
        <v>34</v>
      </c>
      <c r="D588" s="37" t="s">
        <v>82</v>
      </c>
      <c r="E588" s="37" t="s">
        <v>98</v>
      </c>
      <c r="F588" s="37" t="s">
        <v>307</v>
      </c>
      <c r="G588" s="37" t="s">
        <v>171</v>
      </c>
      <c r="H588" s="183">
        <f>6327-1400</f>
        <v>4927</v>
      </c>
      <c r="I588" s="183">
        <v>6327</v>
      </c>
      <c r="J588" s="183">
        <v>6327</v>
      </c>
      <c r="K588" s="183">
        <v>4927</v>
      </c>
      <c r="L588" s="183">
        <v>6327</v>
      </c>
      <c r="M588" s="183">
        <v>6327</v>
      </c>
      <c r="N588" s="43">
        <f t="shared" si="249"/>
        <v>0</v>
      </c>
      <c r="O588" s="183">
        <v>6327</v>
      </c>
      <c r="P588" s="183">
        <v>6327</v>
      </c>
      <c r="Q588" s="183">
        <v>6327</v>
      </c>
      <c r="R588" s="472">
        <f t="shared" si="258"/>
        <v>-1400</v>
      </c>
      <c r="S588" s="472">
        <f t="shared" si="259"/>
        <v>0</v>
      </c>
      <c r="T588" s="472">
        <f t="shared" si="260"/>
        <v>0</v>
      </c>
      <c r="U588" s="23" t="s">
        <v>132</v>
      </c>
      <c r="V588" s="36" t="s">
        <v>34</v>
      </c>
      <c r="W588" s="37" t="s">
        <v>82</v>
      </c>
      <c r="X588" s="37" t="s">
        <v>98</v>
      </c>
      <c r="Y588" s="37" t="s">
        <v>307</v>
      </c>
      <c r="Z588" s="37" t="s">
        <v>171</v>
      </c>
      <c r="AA588" s="12" t="b">
        <f t="shared" si="251"/>
        <v>1</v>
      </c>
      <c r="AB588" s="12" t="b">
        <f t="shared" si="252"/>
        <v>1</v>
      </c>
      <c r="AC588" s="12" t="b">
        <f t="shared" si="253"/>
        <v>1</v>
      </c>
      <c r="AD588" s="12" t="b">
        <f t="shared" si="254"/>
        <v>1</v>
      </c>
      <c r="AE588" s="12" t="b">
        <f t="shared" si="255"/>
        <v>1</v>
      </c>
      <c r="AF588" s="12" t="b">
        <f t="shared" si="256"/>
        <v>1</v>
      </c>
    </row>
    <row r="589" spans="1:32" s="12" customFormat="1" ht="15.75" customHeight="1">
      <c r="A589" s="285"/>
      <c r="B589" s="23" t="s">
        <v>133</v>
      </c>
      <c r="C589" s="36" t="s">
        <v>34</v>
      </c>
      <c r="D589" s="37" t="s">
        <v>82</v>
      </c>
      <c r="E589" s="37" t="s">
        <v>98</v>
      </c>
      <c r="F589" s="37" t="s">
        <v>307</v>
      </c>
      <c r="G589" s="37" t="s">
        <v>19</v>
      </c>
      <c r="H589" s="183">
        <f>920+1400</f>
        <v>2320</v>
      </c>
      <c r="I589" s="183">
        <v>920</v>
      </c>
      <c r="J589" s="183">
        <v>920</v>
      </c>
      <c r="K589" s="183">
        <v>2320</v>
      </c>
      <c r="L589" s="183">
        <v>920</v>
      </c>
      <c r="M589" s="183">
        <v>920</v>
      </c>
      <c r="N589" s="43">
        <f t="shared" si="249"/>
        <v>0</v>
      </c>
      <c r="O589" s="183">
        <v>920</v>
      </c>
      <c r="P589" s="183">
        <v>920</v>
      </c>
      <c r="Q589" s="183">
        <v>920</v>
      </c>
      <c r="R589" s="472">
        <f t="shared" si="258"/>
        <v>1400</v>
      </c>
      <c r="S589" s="472">
        <f t="shared" si="259"/>
        <v>0</v>
      </c>
      <c r="T589" s="472">
        <f t="shared" si="260"/>
        <v>0</v>
      </c>
      <c r="U589" s="23" t="s">
        <v>133</v>
      </c>
      <c r="V589" s="36" t="s">
        <v>34</v>
      </c>
      <c r="W589" s="37" t="s">
        <v>82</v>
      </c>
      <c r="X589" s="37" t="s">
        <v>98</v>
      </c>
      <c r="Y589" s="37" t="s">
        <v>307</v>
      </c>
      <c r="Z589" s="37" t="s">
        <v>19</v>
      </c>
      <c r="AA589" s="12" t="b">
        <f t="shared" si="251"/>
        <v>1</v>
      </c>
      <c r="AB589" s="12" t="b">
        <f t="shared" si="252"/>
        <v>1</v>
      </c>
      <c r="AC589" s="12" t="b">
        <f t="shared" si="253"/>
        <v>1</v>
      </c>
      <c r="AD589" s="12" t="b">
        <f t="shared" si="254"/>
        <v>1</v>
      </c>
      <c r="AE589" s="12" t="b">
        <f t="shared" si="255"/>
        <v>1</v>
      </c>
      <c r="AF589" s="12" t="b">
        <f t="shared" si="256"/>
        <v>1</v>
      </c>
    </row>
    <row r="590" spans="1:32" s="12" customFormat="1" ht="15.75" customHeight="1">
      <c r="A590" s="285"/>
      <c r="B590" s="182" t="s">
        <v>172</v>
      </c>
      <c r="C590" s="36" t="s">
        <v>34</v>
      </c>
      <c r="D590" s="37" t="s">
        <v>82</v>
      </c>
      <c r="E590" s="37" t="s">
        <v>98</v>
      </c>
      <c r="F590" s="37" t="s">
        <v>347</v>
      </c>
      <c r="G590" s="37" t="s">
        <v>90</v>
      </c>
      <c r="H590" s="183">
        <f>H591+H595+H600+H604+H608+H611+H614+H617</f>
        <v>382693.73</v>
      </c>
      <c r="I590" s="183">
        <f>I591+I595+I600+I604+I608+I611+I614+I617</f>
        <v>378440.76</v>
      </c>
      <c r="J590" s="183">
        <f>J591+J595+J600+J604+J608+J611+J614+J617</f>
        <v>379310.56</v>
      </c>
      <c r="K590" s="183">
        <v>384251.27999999997</v>
      </c>
      <c r="L590" s="183">
        <v>378626.93000000005</v>
      </c>
      <c r="M590" s="183">
        <v>376836.46</v>
      </c>
      <c r="N590" s="43">
        <f t="shared" si="249"/>
        <v>1557.5499999999884</v>
      </c>
      <c r="O590" s="183">
        <v>384251.27999999997</v>
      </c>
      <c r="P590" s="183">
        <v>378626.93000000005</v>
      </c>
      <c r="Q590" s="183">
        <v>376836.46</v>
      </c>
      <c r="R590" s="472">
        <f t="shared" si="258"/>
        <v>-1557.5499999999884</v>
      </c>
      <c r="S590" s="472">
        <f t="shared" si="259"/>
        <v>-186.17000000004191</v>
      </c>
      <c r="T590" s="472">
        <f t="shared" si="260"/>
        <v>2474.0999999999767</v>
      </c>
      <c r="U590" s="182" t="s">
        <v>172</v>
      </c>
      <c r="V590" s="36" t="s">
        <v>34</v>
      </c>
      <c r="W590" s="37" t="s">
        <v>82</v>
      </c>
      <c r="X590" s="37" t="s">
        <v>98</v>
      </c>
      <c r="Y590" s="37" t="s">
        <v>347</v>
      </c>
      <c r="Z590" s="37" t="s">
        <v>90</v>
      </c>
      <c r="AA590" s="12" t="b">
        <f t="shared" si="251"/>
        <v>1</v>
      </c>
      <c r="AB590" s="12" t="b">
        <f t="shared" si="252"/>
        <v>1</v>
      </c>
      <c r="AC590" s="12" t="b">
        <f t="shared" si="253"/>
        <v>1</v>
      </c>
      <c r="AD590" s="12" t="b">
        <f t="shared" si="254"/>
        <v>1</v>
      </c>
      <c r="AE590" s="12" t="b">
        <f t="shared" si="255"/>
        <v>1</v>
      </c>
      <c r="AF590" s="12" t="b">
        <f t="shared" si="256"/>
        <v>1</v>
      </c>
    </row>
    <row r="591" spans="1:32" s="12" customFormat="1" ht="15.75" customHeight="1">
      <c r="A591" s="285"/>
      <c r="B591" s="182" t="s">
        <v>351</v>
      </c>
      <c r="C591" s="36" t="s">
        <v>34</v>
      </c>
      <c r="D591" s="37" t="s">
        <v>82</v>
      </c>
      <c r="E591" s="37" t="s">
        <v>98</v>
      </c>
      <c r="F591" s="37" t="s">
        <v>352</v>
      </c>
      <c r="G591" s="37" t="s">
        <v>90</v>
      </c>
      <c r="H591" s="183">
        <f>H592</f>
        <v>210564</v>
      </c>
      <c r="I591" s="183">
        <f t="shared" ref="I591:J591" si="262">I592</f>
        <v>211301.46</v>
      </c>
      <c r="J591" s="183">
        <f t="shared" si="262"/>
        <v>212068.43000000002</v>
      </c>
      <c r="K591" s="183">
        <v>210564</v>
      </c>
      <c r="L591" s="183">
        <v>211301.46</v>
      </c>
      <c r="M591" s="183">
        <v>212068.43000000002</v>
      </c>
      <c r="N591" s="43">
        <f t="shared" si="249"/>
        <v>0</v>
      </c>
      <c r="O591" s="183">
        <v>210564</v>
      </c>
      <c r="P591" s="183">
        <v>211301.46</v>
      </c>
      <c r="Q591" s="183">
        <v>212068.43000000002</v>
      </c>
      <c r="R591" s="472">
        <f t="shared" si="258"/>
        <v>0</v>
      </c>
      <c r="S591" s="472">
        <f t="shared" si="259"/>
        <v>0</v>
      </c>
      <c r="T591" s="472">
        <f t="shared" si="260"/>
        <v>0</v>
      </c>
      <c r="U591" s="182" t="s">
        <v>351</v>
      </c>
      <c r="V591" s="36" t="s">
        <v>34</v>
      </c>
      <c r="W591" s="37" t="s">
        <v>82</v>
      </c>
      <c r="X591" s="37" t="s">
        <v>98</v>
      </c>
      <c r="Y591" s="37" t="s">
        <v>352</v>
      </c>
      <c r="Z591" s="37" t="s">
        <v>90</v>
      </c>
      <c r="AA591" s="12" t="b">
        <f t="shared" si="251"/>
        <v>1</v>
      </c>
      <c r="AB591" s="12" t="b">
        <f t="shared" si="252"/>
        <v>1</v>
      </c>
      <c r="AC591" s="12" t="b">
        <f t="shared" si="253"/>
        <v>1</v>
      </c>
      <c r="AD591" s="12" t="b">
        <f t="shared" si="254"/>
        <v>1</v>
      </c>
      <c r="AE591" s="12" t="b">
        <f t="shared" si="255"/>
        <v>1</v>
      </c>
      <c r="AF591" s="12" t="b">
        <f t="shared" si="256"/>
        <v>1</v>
      </c>
    </row>
    <row r="592" spans="1:32" s="12" customFormat="1" ht="15.75" customHeight="1">
      <c r="A592" s="285"/>
      <c r="B592" s="182" t="s">
        <v>254</v>
      </c>
      <c r="C592" s="36" t="s">
        <v>34</v>
      </c>
      <c r="D592" s="37" t="s">
        <v>82</v>
      </c>
      <c r="E592" s="37" t="s">
        <v>98</v>
      </c>
      <c r="F592" s="37" t="s">
        <v>353</v>
      </c>
      <c r="G592" s="37" t="s">
        <v>90</v>
      </c>
      <c r="H592" s="183">
        <f>H593+H594</f>
        <v>210564</v>
      </c>
      <c r="I592" s="183">
        <f>I593+I594</f>
        <v>211301.46</v>
      </c>
      <c r="J592" s="183">
        <f>J593+J594</f>
        <v>212068.43000000002</v>
      </c>
      <c r="K592" s="183">
        <v>210564</v>
      </c>
      <c r="L592" s="183">
        <v>211301.46</v>
      </c>
      <c r="M592" s="183">
        <v>212068.43000000002</v>
      </c>
      <c r="N592" s="43">
        <f t="shared" si="249"/>
        <v>0</v>
      </c>
      <c r="O592" s="183">
        <v>210564</v>
      </c>
      <c r="P592" s="183">
        <v>211301.46</v>
      </c>
      <c r="Q592" s="183">
        <v>212068.43000000002</v>
      </c>
      <c r="R592" s="472">
        <f t="shared" si="258"/>
        <v>0</v>
      </c>
      <c r="S592" s="472">
        <f t="shared" si="259"/>
        <v>0</v>
      </c>
      <c r="T592" s="472">
        <f t="shared" si="260"/>
        <v>0</v>
      </c>
      <c r="U592" s="182" t="s">
        <v>254</v>
      </c>
      <c r="V592" s="36" t="s">
        <v>34</v>
      </c>
      <c r="W592" s="37" t="s">
        <v>82</v>
      </c>
      <c r="X592" s="37" t="s">
        <v>98</v>
      </c>
      <c r="Y592" s="37" t="s">
        <v>353</v>
      </c>
      <c r="Z592" s="37" t="s">
        <v>90</v>
      </c>
      <c r="AA592" s="12" t="b">
        <f t="shared" si="251"/>
        <v>1</v>
      </c>
      <c r="AB592" s="12" t="b">
        <f t="shared" si="252"/>
        <v>1</v>
      </c>
      <c r="AC592" s="12" t="b">
        <f t="shared" si="253"/>
        <v>1</v>
      </c>
      <c r="AD592" s="12" t="b">
        <f t="shared" si="254"/>
        <v>1</v>
      </c>
      <c r="AE592" s="12" t="b">
        <f t="shared" si="255"/>
        <v>1</v>
      </c>
      <c r="AF592" s="12" t="b">
        <f t="shared" si="256"/>
        <v>1</v>
      </c>
    </row>
    <row r="593" spans="1:32" s="12" customFormat="1" ht="15.75" customHeight="1">
      <c r="A593" s="285"/>
      <c r="B593" s="23" t="s">
        <v>132</v>
      </c>
      <c r="C593" s="36" t="s">
        <v>34</v>
      </c>
      <c r="D593" s="37" t="s">
        <v>82</v>
      </c>
      <c r="E593" s="37" t="s">
        <v>98</v>
      </c>
      <c r="F593" s="37" t="s">
        <v>353</v>
      </c>
      <c r="G593" s="37" t="s">
        <v>171</v>
      </c>
      <c r="H593" s="183">
        <f>68599.95+440.75-37133.28</f>
        <v>31907.42</v>
      </c>
      <c r="I593" s="183">
        <f>68782.5+440.75-37301.53</f>
        <v>31921.72</v>
      </c>
      <c r="J593" s="183">
        <f>68972.35+440.75-37476.52</f>
        <v>31936.580000000009</v>
      </c>
      <c r="K593" s="183">
        <v>31907.42</v>
      </c>
      <c r="L593" s="183">
        <v>31921.72</v>
      </c>
      <c r="M593" s="183">
        <v>31936.580000000009</v>
      </c>
      <c r="N593" s="43">
        <f t="shared" si="249"/>
        <v>0</v>
      </c>
      <c r="O593" s="183">
        <v>69040.7</v>
      </c>
      <c r="P593" s="183">
        <v>69223.25</v>
      </c>
      <c r="Q593" s="183">
        <v>69413.100000000006</v>
      </c>
      <c r="R593" s="472">
        <f t="shared" si="258"/>
        <v>-37133.279999999999</v>
      </c>
      <c r="S593" s="472">
        <f t="shared" si="259"/>
        <v>-37301.53</v>
      </c>
      <c r="T593" s="472">
        <f t="shared" si="260"/>
        <v>-37476.519999999997</v>
      </c>
      <c r="U593" s="23" t="s">
        <v>132</v>
      </c>
      <c r="V593" s="36" t="s">
        <v>34</v>
      </c>
      <c r="W593" s="37" t="s">
        <v>82</v>
      </c>
      <c r="X593" s="37" t="s">
        <v>98</v>
      </c>
      <c r="Y593" s="37" t="s">
        <v>353</v>
      </c>
      <c r="Z593" s="37" t="s">
        <v>171</v>
      </c>
      <c r="AA593" s="12" t="b">
        <f t="shared" si="251"/>
        <v>1</v>
      </c>
      <c r="AB593" s="12" t="b">
        <f t="shared" si="252"/>
        <v>1</v>
      </c>
      <c r="AC593" s="12" t="b">
        <f t="shared" si="253"/>
        <v>1</v>
      </c>
      <c r="AD593" s="12" t="b">
        <f t="shared" si="254"/>
        <v>1</v>
      </c>
      <c r="AE593" s="12" t="b">
        <f t="shared" si="255"/>
        <v>1</v>
      </c>
      <c r="AF593" s="12" t="b">
        <f t="shared" si="256"/>
        <v>1</v>
      </c>
    </row>
    <row r="594" spans="1:32" s="12" customFormat="1" ht="15.75" customHeight="1">
      <c r="A594" s="285"/>
      <c r="B594" s="23" t="s">
        <v>133</v>
      </c>
      <c r="C594" s="36" t="s">
        <v>34</v>
      </c>
      <c r="D594" s="37" t="s">
        <v>82</v>
      </c>
      <c r="E594" s="37" t="s">
        <v>98</v>
      </c>
      <c r="F594" s="37" t="s">
        <v>353</v>
      </c>
      <c r="G594" s="37" t="s">
        <v>19</v>
      </c>
      <c r="H594" s="183">
        <f>81212.62+23400+36910.68+37133.28</f>
        <v>178656.58</v>
      </c>
      <c r="I594" s="183">
        <f>81767.53+23400+36910.68+37301.53</f>
        <v>179379.74</v>
      </c>
      <c r="J594" s="183">
        <f>82344.64+36910.68+23400+0.01+37476.52</f>
        <v>180131.85</v>
      </c>
      <c r="K594" s="183">
        <v>178656.58</v>
      </c>
      <c r="L594" s="183">
        <v>179379.74</v>
      </c>
      <c r="M594" s="183">
        <v>180131.85</v>
      </c>
      <c r="N594" s="43">
        <f t="shared" si="249"/>
        <v>0</v>
      </c>
      <c r="O594" s="183">
        <v>141523.29999999999</v>
      </c>
      <c r="P594" s="183">
        <v>142078.21</v>
      </c>
      <c r="Q594" s="183">
        <v>142655.33000000002</v>
      </c>
      <c r="R594" s="472">
        <f t="shared" si="258"/>
        <v>37133.279999999999</v>
      </c>
      <c r="S594" s="472">
        <f t="shared" si="259"/>
        <v>37301.53</v>
      </c>
      <c r="T594" s="472">
        <f t="shared" si="260"/>
        <v>37476.51999999999</v>
      </c>
      <c r="U594" s="23" t="s">
        <v>133</v>
      </c>
      <c r="V594" s="36" t="s">
        <v>34</v>
      </c>
      <c r="W594" s="37" t="s">
        <v>82</v>
      </c>
      <c r="X594" s="37" t="s">
        <v>98</v>
      </c>
      <c r="Y594" s="37" t="s">
        <v>353</v>
      </c>
      <c r="Z594" s="37" t="s">
        <v>19</v>
      </c>
      <c r="AA594" s="12" t="b">
        <f t="shared" si="251"/>
        <v>1</v>
      </c>
      <c r="AB594" s="12" t="b">
        <f t="shared" si="252"/>
        <v>1</v>
      </c>
      <c r="AC594" s="12" t="b">
        <f t="shared" si="253"/>
        <v>1</v>
      </c>
      <c r="AD594" s="12" t="b">
        <f t="shared" si="254"/>
        <v>1</v>
      </c>
      <c r="AE594" s="12" t="b">
        <f t="shared" si="255"/>
        <v>1</v>
      </c>
      <c r="AF594" s="12" t="b">
        <f t="shared" si="256"/>
        <v>1</v>
      </c>
    </row>
    <row r="595" spans="1:32" s="12" customFormat="1" ht="15.75" customHeight="1">
      <c r="A595" s="285"/>
      <c r="B595" s="182" t="s">
        <v>357</v>
      </c>
      <c r="C595" s="36" t="s">
        <v>34</v>
      </c>
      <c r="D595" s="37" t="s">
        <v>82</v>
      </c>
      <c r="E595" s="37" t="s">
        <v>98</v>
      </c>
      <c r="F595" s="37" t="s">
        <v>355</v>
      </c>
      <c r="G595" s="37" t="s">
        <v>90</v>
      </c>
      <c r="H595" s="183">
        <f>H596+H598</f>
        <v>74748.719999999987</v>
      </c>
      <c r="I595" s="183">
        <f t="shared" ref="I595:J595" si="263">I596+I598</f>
        <v>74053.01999999999</v>
      </c>
      <c r="J595" s="183">
        <f t="shared" si="263"/>
        <v>74125.319999999992</v>
      </c>
      <c r="K595" s="183">
        <v>74934.89</v>
      </c>
      <c r="L595" s="183">
        <v>74239.19</v>
      </c>
      <c r="M595" s="183">
        <v>71651.22</v>
      </c>
      <c r="N595" s="43">
        <f t="shared" si="249"/>
        <v>186.17000000001281</v>
      </c>
      <c r="O595" s="183">
        <v>74934.89</v>
      </c>
      <c r="P595" s="183">
        <v>74239.19</v>
      </c>
      <c r="Q595" s="183">
        <v>71651.22</v>
      </c>
      <c r="R595" s="472">
        <f t="shared" si="258"/>
        <v>-186.17000000001281</v>
      </c>
      <c r="S595" s="472">
        <f t="shared" si="259"/>
        <v>-186.17000000001281</v>
      </c>
      <c r="T595" s="472">
        <f t="shared" si="260"/>
        <v>2474.0999999999913</v>
      </c>
      <c r="U595" s="182" t="s">
        <v>357</v>
      </c>
      <c r="V595" s="36" t="s">
        <v>34</v>
      </c>
      <c r="W595" s="37" t="s">
        <v>82</v>
      </c>
      <c r="X595" s="37" t="s">
        <v>98</v>
      </c>
      <c r="Y595" s="37" t="s">
        <v>355</v>
      </c>
      <c r="Z595" s="37" t="s">
        <v>90</v>
      </c>
      <c r="AA595" s="12" t="b">
        <f t="shared" si="251"/>
        <v>1</v>
      </c>
      <c r="AB595" s="12" t="b">
        <f t="shared" si="252"/>
        <v>1</v>
      </c>
      <c r="AC595" s="12" t="b">
        <f t="shared" si="253"/>
        <v>1</v>
      </c>
      <c r="AD595" s="12" t="b">
        <f t="shared" si="254"/>
        <v>1</v>
      </c>
      <c r="AE595" s="12" t="b">
        <f t="shared" si="255"/>
        <v>1</v>
      </c>
      <c r="AF595" s="12" t="b">
        <f t="shared" si="256"/>
        <v>1</v>
      </c>
    </row>
    <row r="596" spans="1:32" s="12" customFormat="1" ht="15.75" customHeight="1">
      <c r="A596" s="285"/>
      <c r="B596" s="182" t="s">
        <v>254</v>
      </c>
      <c r="C596" s="36" t="s">
        <v>34</v>
      </c>
      <c r="D596" s="37" t="s">
        <v>82</v>
      </c>
      <c r="E596" s="37" t="s">
        <v>98</v>
      </c>
      <c r="F596" s="37" t="s">
        <v>356</v>
      </c>
      <c r="G596" s="37" t="s">
        <v>90</v>
      </c>
      <c r="H596" s="183">
        <f>H597</f>
        <v>72092.929999999993</v>
      </c>
      <c r="I596" s="183">
        <f>I597</f>
        <v>71397.23</v>
      </c>
      <c r="J596" s="183">
        <f>J597</f>
        <v>71509.119999999995</v>
      </c>
      <c r="K596" s="183">
        <v>72092.929999999993</v>
      </c>
      <c r="L596" s="183">
        <v>71397.23</v>
      </c>
      <c r="M596" s="183">
        <v>71651.22</v>
      </c>
      <c r="N596" s="43">
        <f t="shared" si="249"/>
        <v>0</v>
      </c>
      <c r="O596" s="183">
        <v>72092.929999999993</v>
      </c>
      <c r="P596" s="183">
        <v>71397.23</v>
      </c>
      <c r="Q596" s="183">
        <v>71651.22</v>
      </c>
      <c r="R596" s="472">
        <f t="shared" si="258"/>
        <v>0</v>
      </c>
      <c r="S596" s="472">
        <f t="shared" si="259"/>
        <v>0</v>
      </c>
      <c r="T596" s="472">
        <f t="shared" si="260"/>
        <v>-142.10000000000582</v>
      </c>
      <c r="U596" s="182" t="s">
        <v>254</v>
      </c>
      <c r="V596" s="36" t="s">
        <v>34</v>
      </c>
      <c r="W596" s="37" t="s">
        <v>82</v>
      </c>
      <c r="X596" s="37" t="s">
        <v>98</v>
      </c>
      <c r="Y596" s="37" t="s">
        <v>356</v>
      </c>
      <c r="Z596" s="37" t="s">
        <v>90</v>
      </c>
      <c r="AA596" s="12" t="b">
        <f t="shared" si="251"/>
        <v>1</v>
      </c>
      <c r="AB596" s="12" t="b">
        <f t="shared" si="252"/>
        <v>1</v>
      </c>
      <c r="AC596" s="12" t="b">
        <f t="shared" si="253"/>
        <v>1</v>
      </c>
      <c r="AD596" s="12" t="b">
        <f t="shared" si="254"/>
        <v>1</v>
      </c>
      <c r="AE596" s="12" t="b">
        <f t="shared" si="255"/>
        <v>1</v>
      </c>
      <c r="AF596" s="12" t="b">
        <f t="shared" si="256"/>
        <v>1</v>
      </c>
    </row>
    <row r="597" spans="1:32" s="12" customFormat="1" ht="15.75" customHeight="1">
      <c r="A597" s="285"/>
      <c r="B597" s="23" t="s">
        <v>132</v>
      </c>
      <c r="C597" s="36" t="s">
        <v>34</v>
      </c>
      <c r="D597" s="37" t="s">
        <v>82</v>
      </c>
      <c r="E597" s="37" t="s">
        <v>98</v>
      </c>
      <c r="F597" s="37" t="s">
        <v>356</v>
      </c>
      <c r="G597" s="37" t="s">
        <v>171</v>
      </c>
      <c r="H597" s="183">
        <f>71804.29+288.64</f>
        <v>72092.929999999993</v>
      </c>
      <c r="I597" s="183">
        <f>71108.59+288.64</f>
        <v>71397.23</v>
      </c>
      <c r="J597" s="183">
        <f>71220.48+288.64+142.1-142.1</f>
        <v>71509.119999999995</v>
      </c>
      <c r="K597" s="183">
        <v>72092.929999999993</v>
      </c>
      <c r="L597" s="183">
        <v>71397.23</v>
      </c>
      <c r="M597" s="183">
        <v>71651.22</v>
      </c>
      <c r="N597" s="43">
        <f t="shared" si="249"/>
        <v>0</v>
      </c>
      <c r="O597" s="183">
        <v>72092.929999999993</v>
      </c>
      <c r="P597" s="183">
        <v>71397.23</v>
      </c>
      <c r="Q597" s="183">
        <v>71651.22</v>
      </c>
      <c r="R597" s="472">
        <f t="shared" si="258"/>
        <v>0</v>
      </c>
      <c r="S597" s="472">
        <f t="shared" si="259"/>
        <v>0</v>
      </c>
      <c r="T597" s="472">
        <f t="shared" si="260"/>
        <v>-142.10000000000582</v>
      </c>
      <c r="U597" s="23" t="s">
        <v>132</v>
      </c>
      <c r="V597" s="36" t="s">
        <v>34</v>
      </c>
      <c r="W597" s="37" t="s">
        <v>82</v>
      </c>
      <c r="X597" s="37" t="s">
        <v>98</v>
      </c>
      <c r="Y597" s="37" t="s">
        <v>356</v>
      </c>
      <c r="Z597" s="37" t="s">
        <v>171</v>
      </c>
      <c r="AA597" s="12" t="b">
        <f t="shared" si="251"/>
        <v>1</v>
      </c>
      <c r="AB597" s="12" t="b">
        <f t="shared" si="252"/>
        <v>1</v>
      </c>
      <c r="AC597" s="12" t="b">
        <f t="shared" si="253"/>
        <v>1</v>
      </c>
      <c r="AD597" s="12" t="b">
        <f t="shared" si="254"/>
        <v>1</v>
      </c>
      <c r="AE597" s="12" t="b">
        <f t="shared" si="255"/>
        <v>1</v>
      </c>
      <c r="AF597" s="12" t="b">
        <f t="shared" si="256"/>
        <v>1</v>
      </c>
    </row>
    <row r="598" spans="1:32" s="12" customFormat="1" ht="15.75" customHeight="1">
      <c r="A598" s="285"/>
      <c r="B598" s="23" t="s">
        <v>1081</v>
      </c>
      <c r="C598" s="36" t="s">
        <v>34</v>
      </c>
      <c r="D598" s="37" t="s">
        <v>82</v>
      </c>
      <c r="E598" s="37" t="s">
        <v>98</v>
      </c>
      <c r="F598" s="37" t="s">
        <v>1080</v>
      </c>
      <c r="G598" s="37" t="s">
        <v>90</v>
      </c>
      <c r="H598" s="183">
        <f>H599</f>
        <v>2655.79</v>
      </c>
      <c r="I598" s="183">
        <f>I599</f>
        <v>2655.79</v>
      </c>
      <c r="J598" s="183">
        <f>J599</f>
        <v>2616.1999999999998</v>
      </c>
      <c r="K598" s="183">
        <v>2841.96</v>
      </c>
      <c r="L598" s="183">
        <v>2841.96</v>
      </c>
      <c r="M598" s="183">
        <v>0</v>
      </c>
      <c r="N598" s="43">
        <f t="shared" si="249"/>
        <v>186.17000000000007</v>
      </c>
      <c r="O598" s="183">
        <v>2841.96</v>
      </c>
      <c r="P598" s="183">
        <v>2841.96</v>
      </c>
      <c r="Q598" s="183">
        <v>0</v>
      </c>
      <c r="R598" s="472">
        <f t="shared" si="258"/>
        <v>-186.17000000000007</v>
      </c>
      <c r="S598" s="472">
        <f t="shared" si="259"/>
        <v>-186.17000000000007</v>
      </c>
      <c r="T598" s="472">
        <f t="shared" si="260"/>
        <v>2616.1999999999998</v>
      </c>
      <c r="U598" s="23" t="s">
        <v>1081</v>
      </c>
      <c r="V598" s="36" t="s">
        <v>34</v>
      </c>
      <c r="W598" s="37" t="s">
        <v>82</v>
      </c>
      <c r="X598" s="37" t="s">
        <v>98</v>
      </c>
      <c r="Y598" s="37" t="s">
        <v>1080</v>
      </c>
      <c r="Z598" s="37" t="s">
        <v>90</v>
      </c>
      <c r="AA598" s="12" t="b">
        <f t="shared" si="251"/>
        <v>1</v>
      </c>
      <c r="AB598" s="12" t="b">
        <f t="shared" si="252"/>
        <v>1</v>
      </c>
      <c r="AC598" s="12" t="b">
        <f t="shared" si="253"/>
        <v>1</v>
      </c>
      <c r="AD598" s="12" t="b">
        <f t="shared" si="254"/>
        <v>1</v>
      </c>
      <c r="AE598" s="12" t="b">
        <f t="shared" si="255"/>
        <v>1</v>
      </c>
      <c r="AF598" s="12" t="b">
        <f t="shared" si="256"/>
        <v>1</v>
      </c>
    </row>
    <row r="599" spans="1:32" s="12" customFormat="1" ht="15.75" customHeight="1">
      <c r="A599" s="285"/>
      <c r="B599" s="23" t="s">
        <v>132</v>
      </c>
      <c r="C599" s="36" t="s">
        <v>34</v>
      </c>
      <c r="D599" s="37" t="s">
        <v>82</v>
      </c>
      <c r="E599" s="37" t="s">
        <v>98</v>
      </c>
      <c r="F599" s="37" t="s">
        <v>1080</v>
      </c>
      <c r="G599" s="37" t="s">
        <v>171</v>
      </c>
      <c r="H599" s="183">
        <f>2841.96-176.86-9.31</f>
        <v>2655.79</v>
      </c>
      <c r="I599" s="183">
        <f>2841.96-176.86-9.31</f>
        <v>2655.79</v>
      </c>
      <c r="J599" s="183">
        <f>2485.39+130.81</f>
        <v>2616.1999999999998</v>
      </c>
      <c r="K599" s="183">
        <v>2841.96</v>
      </c>
      <c r="L599" s="183">
        <v>2841.96</v>
      </c>
      <c r="M599" s="183">
        <v>0</v>
      </c>
      <c r="N599" s="43">
        <f t="shared" si="249"/>
        <v>186.17000000000007</v>
      </c>
      <c r="O599" s="183">
        <v>2841.96</v>
      </c>
      <c r="P599" s="183">
        <v>2841.96</v>
      </c>
      <c r="Q599" s="183">
        <v>0</v>
      </c>
      <c r="R599" s="472">
        <f t="shared" si="258"/>
        <v>-186.17000000000007</v>
      </c>
      <c r="S599" s="472">
        <f t="shared" si="259"/>
        <v>-186.17000000000007</v>
      </c>
      <c r="T599" s="472">
        <f t="shared" si="260"/>
        <v>2616.1999999999998</v>
      </c>
      <c r="U599" s="23" t="s">
        <v>132</v>
      </c>
      <c r="V599" s="36" t="s">
        <v>34</v>
      </c>
      <c r="W599" s="37" t="s">
        <v>82</v>
      </c>
      <c r="X599" s="37" t="s">
        <v>98</v>
      </c>
      <c r="Y599" s="37" t="s">
        <v>1080</v>
      </c>
      <c r="Z599" s="37" t="s">
        <v>171</v>
      </c>
      <c r="AA599" s="12" t="b">
        <f t="shared" si="251"/>
        <v>1</v>
      </c>
      <c r="AB599" s="12" t="b">
        <f t="shared" si="252"/>
        <v>1</v>
      </c>
      <c r="AC599" s="12" t="b">
        <f t="shared" si="253"/>
        <v>1</v>
      </c>
      <c r="AD599" s="12" t="b">
        <f t="shared" si="254"/>
        <v>1</v>
      </c>
      <c r="AE599" s="12" t="b">
        <f t="shared" si="255"/>
        <v>1</v>
      </c>
      <c r="AF599" s="12" t="b">
        <f t="shared" si="256"/>
        <v>1</v>
      </c>
    </row>
    <row r="600" spans="1:32" s="12" customFormat="1" ht="15.75" customHeight="1">
      <c r="A600" s="285"/>
      <c r="B600" s="182" t="s">
        <v>360</v>
      </c>
      <c r="C600" s="36" t="s">
        <v>34</v>
      </c>
      <c r="D600" s="37" t="s">
        <v>82</v>
      </c>
      <c r="E600" s="37" t="s">
        <v>98</v>
      </c>
      <c r="F600" s="37" t="s">
        <v>358</v>
      </c>
      <c r="G600" s="37" t="s">
        <v>90</v>
      </c>
      <c r="H600" s="183">
        <f>H601</f>
        <v>86367.99</v>
      </c>
      <c r="I600" s="183">
        <f t="shared" ref="I600:J600" si="264">I601</f>
        <v>86389.53</v>
      </c>
      <c r="J600" s="183">
        <f t="shared" si="264"/>
        <v>86411.94</v>
      </c>
      <c r="K600" s="183">
        <v>86367.99</v>
      </c>
      <c r="L600" s="183">
        <v>86389.53</v>
      </c>
      <c r="M600" s="183">
        <v>86411.94</v>
      </c>
      <c r="N600" s="43">
        <f t="shared" si="249"/>
        <v>0</v>
      </c>
      <c r="O600" s="183">
        <v>86367.99</v>
      </c>
      <c r="P600" s="183">
        <v>86389.53</v>
      </c>
      <c r="Q600" s="183">
        <v>86411.94</v>
      </c>
      <c r="R600" s="472">
        <f t="shared" si="258"/>
        <v>0</v>
      </c>
      <c r="S600" s="472">
        <f t="shared" si="259"/>
        <v>0</v>
      </c>
      <c r="T600" s="472">
        <f t="shared" si="260"/>
        <v>0</v>
      </c>
      <c r="U600" s="182" t="s">
        <v>360</v>
      </c>
      <c r="V600" s="36" t="s">
        <v>34</v>
      </c>
      <c r="W600" s="37" t="s">
        <v>82</v>
      </c>
      <c r="X600" s="37" t="s">
        <v>98</v>
      </c>
      <c r="Y600" s="37" t="s">
        <v>358</v>
      </c>
      <c r="Z600" s="37" t="s">
        <v>90</v>
      </c>
      <c r="AA600" s="12" t="b">
        <f t="shared" si="251"/>
        <v>1</v>
      </c>
      <c r="AB600" s="12" t="b">
        <f t="shared" si="252"/>
        <v>1</v>
      </c>
      <c r="AC600" s="12" t="b">
        <f t="shared" si="253"/>
        <v>1</v>
      </c>
      <c r="AD600" s="12" t="b">
        <f t="shared" si="254"/>
        <v>1</v>
      </c>
      <c r="AE600" s="12" t="b">
        <f t="shared" si="255"/>
        <v>1</v>
      </c>
      <c r="AF600" s="12" t="b">
        <f t="shared" si="256"/>
        <v>1</v>
      </c>
    </row>
    <row r="601" spans="1:32" s="12" customFormat="1" ht="15.75" customHeight="1">
      <c r="A601" s="285"/>
      <c r="B601" s="182" t="s">
        <v>254</v>
      </c>
      <c r="C601" s="36" t="s">
        <v>34</v>
      </c>
      <c r="D601" s="37" t="s">
        <v>82</v>
      </c>
      <c r="E601" s="37" t="s">
        <v>98</v>
      </c>
      <c r="F601" s="37" t="s">
        <v>359</v>
      </c>
      <c r="G601" s="37" t="s">
        <v>90</v>
      </c>
      <c r="H601" s="183">
        <f>SUM(H602:H603)</f>
        <v>86367.99</v>
      </c>
      <c r="I601" s="183">
        <f>SUM(I602:I603)</f>
        <v>86389.53</v>
      </c>
      <c r="J601" s="183">
        <f>SUM(J602:J603)</f>
        <v>86411.94</v>
      </c>
      <c r="K601" s="183">
        <v>86367.99</v>
      </c>
      <c r="L601" s="183">
        <v>86389.53</v>
      </c>
      <c r="M601" s="183">
        <v>86411.94</v>
      </c>
      <c r="N601" s="43">
        <f t="shared" si="249"/>
        <v>0</v>
      </c>
      <c r="O601" s="183">
        <v>86367.99</v>
      </c>
      <c r="P601" s="183">
        <v>86389.53</v>
      </c>
      <c r="Q601" s="183">
        <v>86411.94</v>
      </c>
      <c r="R601" s="472">
        <f t="shared" si="258"/>
        <v>0</v>
      </c>
      <c r="S601" s="472">
        <f t="shared" si="259"/>
        <v>0</v>
      </c>
      <c r="T601" s="472">
        <f t="shared" si="260"/>
        <v>0</v>
      </c>
      <c r="U601" s="182" t="s">
        <v>254</v>
      </c>
      <c r="V601" s="36" t="s">
        <v>34</v>
      </c>
      <c r="W601" s="37" t="s">
        <v>82</v>
      </c>
      <c r="X601" s="37" t="s">
        <v>98</v>
      </c>
      <c r="Y601" s="37" t="s">
        <v>359</v>
      </c>
      <c r="Z601" s="37" t="s">
        <v>90</v>
      </c>
      <c r="AA601" s="12" t="b">
        <f t="shared" si="251"/>
        <v>1</v>
      </c>
      <c r="AB601" s="12" t="b">
        <f t="shared" si="252"/>
        <v>1</v>
      </c>
      <c r="AC601" s="12" t="b">
        <f t="shared" si="253"/>
        <v>1</v>
      </c>
      <c r="AD601" s="12" t="b">
        <f t="shared" si="254"/>
        <v>1</v>
      </c>
      <c r="AE601" s="12" t="b">
        <f t="shared" si="255"/>
        <v>1</v>
      </c>
      <c r="AF601" s="12" t="b">
        <f t="shared" si="256"/>
        <v>1</v>
      </c>
    </row>
    <row r="602" spans="1:32" s="12" customFormat="1" ht="15.75" customHeight="1">
      <c r="A602" s="285"/>
      <c r="B602" s="23" t="s">
        <v>132</v>
      </c>
      <c r="C602" s="36" t="s">
        <v>34</v>
      </c>
      <c r="D602" s="37" t="s">
        <v>82</v>
      </c>
      <c r="E602" s="37" t="s">
        <v>98</v>
      </c>
      <c r="F602" s="37" t="s">
        <v>359</v>
      </c>
      <c r="G602" s="37" t="s">
        <v>171</v>
      </c>
      <c r="H602" s="183">
        <f>73079.27+202.05</f>
        <v>73281.320000000007</v>
      </c>
      <c r="I602" s="183">
        <f>73100.81+202.05</f>
        <v>73302.86</v>
      </c>
      <c r="J602" s="183">
        <f>73123.22+202.05</f>
        <v>73325.27</v>
      </c>
      <c r="K602" s="183">
        <v>73281.320000000007</v>
      </c>
      <c r="L602" s="183">
        <v>73302.86</v>
      </c>
      <c r="M602" s="183">
        <v>73325.27</v>
      </c>
      <c r="N602" s="43">
        <f t="shared" si="249"/>
        <v>0</v>
      </c>
      <c r="O602" s="183">
        <v>73281.320000000007</v>
      </c>
      <c r="P602" s="183">
        <v>73302.86</v>
      </c>
      <c r="Q602" s="183">
        <v>73325.27</v>
      </c>
      <c r="R602" s="472">
        <f t="shared" si="258"/>
        <v>0</v>
      </c>
      <c r="S602" s="472">
        <f t="shared" si="259"/>
        <v>0</v>
      </c>
      <c r="T602" s="472">
        <f t="shared" si="260"/>
        <v>0</v>
      </c>
      <c r="U602" s="23" t="s">
        <v>132</v>
      </c>
      <c r="V602" s="36" t="s">
        <v>34</v>
      </c>
      <c r="W602" s="37" t="s">
        <v>82</v>
      </c>
      <c r="X602" s="37" t="s">
        <v>98</v>
      </c>
      <c r="Y602" s="37" t="s">
        <v>359</v>
      </c>
      <c r="Z602" s="37" t="s">
        <v>171</v>
      </c>
      <c r="AA602" s="12" t="b">
        <f t="shared" si="251"/>
        <v>1</v>
      </c>
      <c r="AB602" s="12" t="b">
        <f t="shared" si="252"/>
        <v>1</v>
      </c>
      <c r="AC602" s="12" t="b">
        <f t="shared" si="253"/>
        <v>1</v>
      </c>
      <c r="AD602" s="12" t="b">
        <f t="shared" si="254"/>
        <v>1</v>
      </c>
      <c r="AE602" s="12" t="b">
        <f t="shared" si="255"/>
        <v>1</v>
      </c>
      <c r="AF602" s="12" t="b">
        <f t="shared" si="256"/>
        <v>1</v>
      </c>
    </row>
    <row r="603" spans="1:32" s="12" customFormat="1" ht="15.75" customHeight="1">
      <c r="A603" s="285"/>
      <c r="B603" s="23" t="s">
        <v>133</v>
      </c>
      <c r="C603" s="36" t="s">
        <v>34</v>
      </c>
      <c r="D603" s="37" t="s">
        <v>82</v>
      </c>
      <c r="E603" s="37" t="s">
        <v>98</v>
      </c>
      <c r="F603" s="37" t="s">
        <v>359</v>
      </c>
      <c r="G603" s="37" t="s">
        <v>19</v>
      </c>
      <c r="H603" s="183">
        <v>13086.67</v>
      </c>
      <c r="I603" s="183">
        <v>13086.67</v>
      </c>
      <c r="J603" s="183">
        <v>13086.67</v>
      </c>
      <c r="K603" s="183">
        <v>13086.67</v>
      </c>
      <c r="L603" s="183">
        <v>13086.67</v>
      </c>
      <c r="M603" s="183">
        <v>13086.67</v>
      </c>
      <c r="N603" s="43">
        <f t="shared" si="249"/>
        <v>0</v>
      </c>
      <c r="O603" s="183">
        <v>13086.67</v>
      </c>
      <c r="P603" s="183">
        <v>13086.67</v>
      </c>
      <c r="Q603" s="183">
        <v>13086.67</v>
      </c>
      <c r="R603" s="472">
        <f t="shared" si="258"/>
        <v>0</v>
      </c>
      <c r="S603" s="472">
        <f t="shared" si="259"/>
        <v>0</v>
      </c>
      <c r="T603" s="472">
        <f t="shared" si="260"/>
        <v>0</v>
      </c>
      <c r="U603" s="23" t="s">
        <v>133</v>
      </c>
      <c r="V603" s="36" t="s">
        <v>34</v>
      </c>
      <c r="W603" s="37" t="s">
        <v>82</v>
      </c>
      <c r="X603" s="37" t="s">
        <v>98</v>
      </c>
      <c r="Y603" s="37" t="s">
        <v>359</v>
      </c>
      <c r="Z603" s="37" t="s">
        <v>19</v>
      </c>
      <c r="AA603" s="12" t="b">
        <f t="shared" si="251"/>
        <v>1</v>
      </c>
      <c r="AB603" s="12" t="b">
        <f t="shared" si="252"/>
        <v>1</v>
      </c>
      <c r="AC603" s="12" t="b">
        <f t="shared" si="253"/>
        <v>1</v>
      </c>
      <c r="AD603" s="12" t="b">
        <f t="shared" si="254"/>
        <v>1</v>
      </c>
      <c r="AE603" s="12" t="b">
        <f t="shared" si="255"/>
        <v>1</v>
      </c>
      <c r="AF603" s="12" t="b">
        <f t="shared" si="256"/>
        <v>1</v>
      </c>
    </row>
    <row r="604" spans="1:32" s="12" customFormat="1" ht="15.75" customHeight="1">
      <c r="A604" s="285"/>
      <c r="B604" s="23" t="s">
        <v>1132</v>
      </c>
      <c r="C604" s="36" t="s">
        <v>34</v>
      </c>
      <c r="D604" s="37" t="s">
        <v>82</v>
      </c>
      <c r="E604" s="37" t="s">
        <v>98</v>
      </c>
      <c r="F604" s="37" t="s">
        <v>361</v>
      </c>
      <c r="G604" s="37" t="s">
        <v>90</v>
      </c>
      <c r="H604" s="183">
        <f>H605</f>
        <v>1377.25</v>
      </c>
      <c r="I604" s="183">
        <f>I605</f>
        <v>1377.25</v>
      </c>
      <c r="J604" s="183">
        <f>J605</f>
        <v>1377.25</v>
      </c>
      <c r="K604" s="183">
        <v>1377.25</v>
      </c>
      <c r="L604" s="183">
        <v>1377.25</v>
      </c>
      <c r="M604" s="183">
        <v>1377.25</v>
      </c>
      <c r="N604" s="43">
        <f t="shared" si="249"/>
        <v>0</v>
      </c>
      <c r="O604" s="183">
        <v>1377.25</v>
      </c>
      <c r="P604" s="183">
        <v>1377.25</v>
      </c>
      <c r="Q604" s="183">
        <v>1377.25</v>
      </c>
      <c r="R604" s="472">
        <f t="shared" si="258"/>
        <v>0</v>
      </c>
      <c r="S604" s="472">
        <f t="shared" si="259"/>
        <v>0</v>
      </c>
      <c r="T604" s="472">
        <f t="shared" si="260"/>
        <v>0</v>
      </c>
      <c r="U604" s="23" t="s">
        <v>1132</v>
      </c>
      <c r="V604" s="36" t="s">
        <v>34</v>
      </c>
      <c r="W604" s="37" t="s">
        <v>82</v>
      </c>
      <c r="X604" s="37" t="s">
        <v>98</v>
      </c>
      <c r="Y604" s="37" t="s">
        <v>361</v>
      </c>
      <c r="Z604" s="37" t="s">
        <v>90</v>
      </c>
      <c r="AA604" s="12" t="b">
        <f t="shared" si="251"/>
        <v>1</v>
      </c>
      <c r="AB604" s="12" t="b">
        <f t="shared" si="252"/>
        <v>1</v>
      </c>
      <c r="AC604" s="12" t="b">
        <f t="shared" si="253"/>
        <v>1</v>
      </c>
      <c r="AD604" s="12" t="b">
        <f t="shared" si="254"/>
        <v>1</v>
      </c>
      <c r="AE604" s="12" t="b">
        <f t="shared" si="255"/>
        <v>1</v>
      </c>
      <c r="AF604" s="12" t="b">
        <f t="shared" si="256"/>
        <v>1</v>
      </c>
    </row>
    <row r="605" spans="1:32" s="12" customFormat="1" ht="15.75" customHeight="1">
      <c r="A605" s="285"/>
      <c r="B605" s="23" t="s">
        <v>1131</v>
      </c>
      <c r="C605" s="36" t="s">
        <v>34</v>
      </c>
      <c r="D605" s="37" t="s">
        <v>82</v>
      </c>
      <c r="E605" s="37" t="s">
        <v>98</v>
      </c>
      <c r="F605" s="37" t="s">
        <v>902</v>
      </c>
      <c r="G605" s="37" t="s">
        <v>90</v>
      </c>
      <c r="H605" s="183">
        <f>H606+H607</f>
        <v>1377.25</v>
      </c>
      <c r="I605" s="183">
        <f>I606+I607</f>
        <v>1377.25</v>
      </c>
      <c r="J605" s="183">
        <f>J606+J607</f>
        <v>1377.25</v>
      </c>
      <c r="K605" s="183">
        <v>1377.25</v>
      </c>
      <c r="L605" s="183">
        <v>1377.25</v>
      </c>
      <c r="M605" s="183">
        <v>1377.25</v>
      </c>
      <c r="N605" s="43">
        <f t="shared" si="249"/>
        <v>0</v>
      </c>
      <c r="O605" s="183">
        <v>1377.25</v>
      </c>
      <c r="P605" s="183">
        <v>1377.25</v>
      </c>
      <c r="Q605" s="183">
        <v>1377.25</v>
      </c>
      <c r="R605" s="472">
        <f t="shared" si="258"/>
        <v>0</v>
      </c>
      <c r="S605" s="472">
        <f t="shared" si="259"/>
        <v>0</v>
      </c>
      <c r="T605" s="472">
        <f t="shared" si="260"/>
        <v>0</v>
      </c>
      <c r="U605" s="23" t="s">
        <v>1131</v>
      </c>
      <c r="V605" s="36" t="s">
        <v>34</v>
      </c>
      <c r="W605" s="37" t="s">
        <v>82</v>
      </c>
      <c r="X605" s="37" t="s">
        <v>98</v>
      </c>
      <c r="Y605" s="37" t="s">
        <v>902</v>
      </c>
      <c r="Z605" s="37" t="s">
        <v>90</v>
      </c>
      <c r="AA605" s="12" t="b">
        <f t="shared" si="251"/>
        <v>1</v>
      </c>
      <c r="AB605" s="12" t="b">
        <f t="shared" si="252"/>
        <v>1</v>
      </c>
      <c r="AC605" s="12" t="b">
        <f t="shared" si="253"/>
        <v>1</v>
      </c>
      <c r="AD605" s="12" t="b">
        <f t="shared" si="254"/>
        <v>1</v>
      </c>
      <c r="AE605" s="12" t="b">
        <f t="shared" si="255"/>
        <v>1</v>
      </c>
      <c r="AF605" s="12" t="b">
        <f t="shared" si="256"/>
        <v>1</v>
      </c>
    </row>
    <row r="606" spans="1:32" s="12" customFormat="1" ht="15.75" customHeight="1">
      <c r="A606" s="285"/>
      <c r="B606" s="23" t="s">
        <v>132</v>
      </c>
      <c r="C606" s="36" t="s">
        <v>34</v>
      </c>
      <c r="D606" s="37" t="s">
        <v>82</v>
      </c>
      <c r="E606" s="37" t="s">
        <v>98</v>
      </c>
      <c r="F606" s="37" t="s">
        <v>902</v>
      </c>
      <c r="G606" s="37" t="s">
        <v>171</v>
      </c>
      <c r="H606" s="183">
        <f>1337.25-40</f>
        <v>1297.25</v>
      </c>
      <c r="I606" s="183">
        <v>1337.25</v>
      </c>
      <c r="J606" s="183">
        <v>1337.25</v>
      </c>
      <c r="K606" s="183">
        <v>1297.25</v>
      </c>
      <c r="L606" s="183">
        <v>1337.25</v>
      </c>
      <c r="M606" s="183">
        <v>1337.25</v>
      </c>
      <c r="N606" s="43">
        <f t="shared" si="249"/>
        <v>0</v>
      </c>
      <c r="O606" s="183">
        <v>1337.25</v>
      </c>
      <c r="P606" s="183">
        <v>1337.25</v>
      </c>
      <c r="Q606" s="183">
        <v>1337.25</v>
      </c>
      <c r="R606" s="472">
        <f t="shared" si="258"/>
        <v>-40</v>
      </c>
      <c r="S606" s="472">
        <f t="shared" si="259"/>
        <v>0</v>
      </c>
      <c r="T606" s="472">
        <f t="shared" si="260"/>
        <v>0</v>
      </c>
      <c r="U606" s="23" t="s">
        <v>132</v>
      </c>
      <c r="V606" s="36" t="s">
        <v>34</v>
      </c>
      <c r="W606" s="37" t="s">
        <v>82</v>
      </c>
      <c r="X606" s="37" t="s">
        <v>98</v>
      </c>
      <c r="Y606" s="37" t="s">
        <v>902</v>
      </c>
      <c r="Z606" s="37" t="s">
        <v>171</v>
      </c>
      <c r="AA606" s="12" t="b">
        <f t="shared" si="251"/>
        <v>1</v>
      </c>
      <c r="AB606" s="12" t="b">
        <f t="shared" si="252"/>
        <v>1</v>
      </c>
      <c r="AC606" s="12" t="b">
        <f t="shared" si="253"/>
        <v>1</v>
      </c>
      <c r="AD606" s="12" t="b">
        <f t="shared" si="254"/>
        <v>1</v>
      </c>
      <c r="AE606" s="12" t="b">
        <f t="shared" si="255"/>
        <v>1</v>
      </c>
      <c r="AF606" s="12" t="b">
        <f t="shared" si="256"/>
        <v>1</v>
      </c>
    </row>
    <row r="607" spans="1:32" s="12" customFormat="1" ht="15.75" customHeight="1">
      <c r="A607" s="285"/>
      <c r="B607" s="23" t="s">
        <v>133</v>
      </c>
      <c r="C607" s="36" t="s">
        <v>34</v>
      </c>
      <c r="D607" s="37" t="s">
        <v>82</v>
      </c>
      <c r="E607" s="37" t="s">
        <v>98</v>
      </c>
      <c r="F607" s="37" t="s">
        <v>902</v>
      </c>
      <c r="G607" s="37" t="s">
        <v>19</v>
      </c>
      <c r="H607" s="183">
        <f>40+40</f>
        <v>80</v>
      </c>
      <c r="I607" s="183">
        <v>40</v>
      </c>
      <c r="J607" s="183">
        <v>40</v>
      </c>
      <c r="K607" s="183">
        <v>80</v>
      </c>
      <c r="L607" s="183">
        <v>40</v>
      </c>
      <c r="M607" s="183">
        <v>40</v>
      </c>
      <c r="N607" s="43">
        <f t="shared" si="249"/>
        <v>0</v>
      </c>
      <c r="O607" s="183">
        <v>40</v>
      </c>
      <c r="P607" s="183">
        <v>40</v>
      </c>
      <c r="Q607" s="183">
        <v>40</v>
      </c>
      <c r="R607" s="472">
        <f t="shared" si="258"/>
        <v>40</v>
      </c>
      <c r="S607" s="472">
        <f t="shared" si="259"/>
        <v>0</v>
      </c>
      <c r="T607" s="472">
        <f t="shared" si="260"/>
        <v>0</v>
      </c>
      <c r="U607" s="23" t="s">
        <v>133</v>
      </c>
      <c r="V607" s="36" t="s">
        <v>34</v>
      </c>
      <c r="W607" s="37" t="s">
        <v>82</v>
      </c>
      <c r="X607" s="37" t="s">
        <v>98</v>
      </c>
      <c r="Y607" s="37" t="s">
        <v>902</v>
      </c>
      <c r="Z607" s="37" t="s">
        <v>19</v>
      </c>
      <c r="AA607" s="12" t="b">
        <f t="shared" si="251"/>
        <v>1</v>
      </c>
      <c r="AB607" s="12" t="b">
        <f t="shared" si="252"/>
        <v>1</v>
      </c>
      <c r="AC607" s="12" t="b">
        <f t="shared" si="253"/>
        <v>1</v>
      </c>
      <c r="AD607" s="12" t="b">
        <f t="shared" si="254"/>
        <v>1</v>
      </c>
      <c r="AE607" s="12" t="b">
        <f t="shared" si="255"/>
        <v>1</v>
      </c>
      <c r="AF607" s="12" t="b">
        <f t="shared" si="256"/>
        <v>1</v>
      </c>
    </row>
    <row r="608" spans="1:32" s="12" customFormat="1" ht="15.75" customHeight="1">
      <c r="A608" s="285"/>
      <c r="B608" s="23" t="s">
        <v>906</v>
      </c>
      <c r="C608" s="36" t="s">
        <v>34</v>
      </c>
      <c r="D608" s="37" t="s">
        <v>82</v>
      </c>
      <c r="E608" s="37" t="s">
        <v>98</v>
      </c>
      <c r="F608" s="37" t="s">
        <v>350</v>
      </c>
      <c r="G608" s="37" t="s">
        <v>90</v>
      </c>
      <c r="H608" s="183">
        <f>H609</f>
        <v>300</v>
      </c>
      <c r="I608" s="183">
        <f t="shared" ref="I608:J608" si="265">I609</f>
        <v>300</v>
      </c>
      <c r="J608" s="183">
        <f t="shared" si="265"/>
        <v>300</v>
      </c>
      <c r="K608" s="183">
        <v>300</v>
      </c>
      <c r="L608" s="183">
        <v>300</v>
      </c>
      <c r="M608" s="183">
        <v>300</v>
      </c>
      <c r="N608" s="43">
        <f t="shared" si="249"/>
        <v>0</v>
      </c>
      <c r="O608" s="183">
        <v>300</v>
      </c>
      <c r="P608" s="183">
        <v>300</v>
      </c>
      <c r="Q608" s="183">
        <v>300</v>
      </c>
      <c r="R608" s="472">
        <f t="shared" si="258"/>
        <v>0</v>
      </c>
      <c r="S608" s="472">
        <f t="shared" si="259"/>
        <v>0</v>
      </c>
      <c r="T608" s="472">
        <f t="shared" si="260"/>
        <v>0</v>
      </c>
      <c r="U608" s="23" t="s">
        <v>906</v>
      </c>
      <c r="V608" s="36" t="s">
        <v>34</v>
      </c>
      <c r="W608" s="37" t="s">
        <v>82</v>
      </c>
      <c r="X608" s="37" t="s">
        <v>98</v>
      </c>
      <c r="Y608" s="37" t="s">
        <v>350</v>
      </c>
      <c r="Z608" s="37" t="s">
        <v>90</v>
      </c>
      <c r="AA608" s="12" t="b">
        <f t="shared" si="251"/>
        <v>1</v>
      </c>
      <c r="AB608" s="12" t="b">
        <f t="shared" si="252"/>
        <v>1</v>
      </c>
      <c r="AC608" s="12" t="b">
        <f t="shared" si="253"/>
        <v>1</v>
      </c>
      <c r="AD608" s="12" t="b">
        <f t="shared" si="254"/>
        <v>1</v>
      </c>
      <c r="AE608" s="12" t="b">
        <f t="shared" si="255"/>
        <v>1</v>
      </c>
      <c r="AF608" s="12" t="b">
        <f t="shared" si="256"/>
        <v>1</v>
      </c>
    </row>
    <row r="609" spans="1:32" s="12" customFormat="1" ht="15.75" customHeight="1">
      <c r="A609" s="285"/>
      <c r="B609" s="23" t="s">
        <v>959</v>
      </c>
      <c r="C609" s="36" t="s">
        <v>34</v>
      </c>
      <c r="D609" s="37" t="s">
        <v>82</v>
      </c>
      <c r="E609" s="37" t="s">
        <v>98</v>
      </c>
      <c r="F609" s="37" t="s">
        <v>901</v>
      </c>
      <c r="G609" s="37" t="s">
        <v>90</v>
      </c>
      <c r="H609" s="183">
        <f>H610</f>
        <v>300</v>
      </c>
      <c r="I609" s="183">
        <f>I610</f>
        <v>300</v>
      </c>
      <c r="J609" s="183">
        <f>J610</f>
        <v>300</v>
      </c>
      <c r="K609" s="183">
        <v>300</v>
      </c>
      <c r="L609" s="183">
        <v>300</v>
      </c>
      <c r="M609" s="183">
        <v>300</v>
      </c>
      <c r="N609" s="43">
        <f t="shared" si="249"/>
        <v>0</v>
      </c>
      <c r="O609" s="183">
        <v>300</v>
      </c>
      <c r="P609" s="183">
        <v>300</v>
      </c>
      <c r="Q609" s="183">
        <v>300</v>
      </c>
      <c r="R609" s="472">
        <f t="shared" si="258"/>
        <v>0</v>
      </c>
      <c r="S609" s="472">
        <f t="shared" si="259"/>
        <v>0</v>
      </c>
      <c r="T609" s="472">
        <f t="shared" si="260"/>
        <v>0</v>
      </c>
      <c r="U609" s="23" t="s">
        <v>959</v>
      </c>
      <c r="V609" s="36" t="s">
        <v>34</v>
      </c>
      <c r="W609" s="37" t="s">
        <v>82</v>
      </c>
      <c r="X609" s="37" t="s">
        <v>98</v>
      </c>
      <c r="Y609" s="37" t="s">
        <v>901</v>
      </c>
      <c r="Z609" s="37" t="s">
        <v>90</v>
      </c>
      <c r="AA609" s="12" t="b">
        <f t="shared" si="251"/>
        <v>1</v>
      </c>
      <c r="AB609" s="12" t="b">
        <f t="shared" si="252"/>
        <v>1</v>
      </c>
      <c r="AC609" s="12" t="b">
        <f t="shared" si="253"/>
        <v>1</v>
      </c>
      <c r="AD609" s="12" t="b">
        <f t="shared" si="254"/>
        <v>1</v>
      </c>
      <c r="AE609" s="12" t="b">
        <f t="shared" si="255"/>
        <v>1</v>
      </c>
      <c r="AF609" s="12" t="b">
        <f t="shared" si="256"/>
        <v>1</v>
      </c>
    </row>
    <row r="610" spans="1:32" s="12" customFormat="1" ht="15.75" customHeight="1">
      <c r="A610" s="285"/>
      <c r="B610" s="23" t="s">
        <v>132</v>
      </c>
      <c r="C610" s="36" t="s">
        <v>34</v>
      </c>
      <c r="D610" s="37" t="s">
        <v>82</v>
      </c>
      <c r="E610" s="37" t="s">
        <v>98</v>
      </c>
      <c r="F610" s="37" t="s">
        <v>901</v>
      </c>
      <c r="G610" s="37" t="s">
        <v>171</v>
      </c>
      <c r="H610" s="183">
        <v>300</v>
      </c>
      <c r="I610" s="183">
        <v>300</v>
      </c>
      <c r="J610" s="183">
        <v>300</v>
      </c>
      <c r="K610" s="183">
        <v>300</v>
      </c>
      <c r="L610" s="183">
        <v>300</v>
      </c>
      <c r="M610" s="183">
        <v>300</v>
      </c>
      <c r="N610" s="43">
        <f t="shared" si="249"/>
        <v>0</v>
      </c>
      <c r="O610" s="183">
        <v>300</v>
      </c>
      <c r="P610" s="183">
        <v>300</v>
      </c>
      <c r="Q610" s="183">
        <v>300</v>
      </c>
      <c r="R610" s="472">
        <f t="shared" si="258"/>
        <v>0</v>
      </c>
      <c r="S610" s="472">
        <f t="shared" si="259"/>
        <v>0</v>
      </c>
      <c r="T610" s="472">
        <f t="shared" si="260"/>
        <v>0</v>
      </c>
      <c r="U610" s="23" t="s">
        <v>132</v>
      </c>
      <c r="V610" s="36" t="s">
        <v>34</v>
      </c>
      <c r="W610" s="37" t="s">
        <v>82</v>
      </c>
      <c r="X610" s="37" t="s">
        <v>98</v>
      </c>
      <c r="Y610" s="37" t="s">
        <v>901</v>
      </c>
      <c r="Z610" s="37" t="s">
        <v>171</v>
      </c>
      <c r="AA610" s="12" t="b">
        <f t="shared" si="251"/>
        <v>1</v>
      </c>
      <c r="AB610" s="12" t="b">
        <f t="shared" si="252"/>
        <v>1</v>
      </c>
      <c r="AC610" s="12" t="b">
        <f t="shared" si="253"/>
        <v>1</v>
      </c>
      <c r="AD610" s="12" t="b">
        <f t="shared" si="254"/>
        <v>1</v>
      </c>
      <c r="AE610" s="12" t="b">
        <f t="shared" si="255"/>
        <v>1</v>
      </c>
      <c r="AF610" s="12" t="b">
        <f t="shared" si="256"/>
        <v>1</v>
      </c>
    </row>
    <row r="611" spans="1:32" s="12" customFormat="1" ht="15.75" customHeight="1">
      <c r="A611" s="285"/>
      <c r="B611" s="182" t="s">
        <v>354</v>
      </c>
      <c r="C611" s="36" t="s">
        <v>34</v>
      </c>
      <c r="D611" s="37" t="s">
        <v>82</v>
      </c>
      <c r="E611" s="37" t="s">
        <v>98</v>
      </c>
      <c r="F611" s="37" t="s">
        <v>536</v>
      </c>
      <c r="G611" s="37" t="s">
        <v>90</v>
      </c>
      <c r="H611" s="183">
        <f>H612</f>
        <v>5011.68</v>
      </c>
      <c r="I611" s="183">
        <f t="shared" ref="I611:J611" si="266">I612</f>
        <v>5019.5</v>
      </c>
      <c r="J611" s="183">
        <f t="shared" si="266"/>
        <v>5027.6200000000008</v>
      </c>
      <c r="K611" s="183">
        <v>5011.68</v>
      </c>
      <c r="L611" s="183">
        <v>5019.5</v>
      </c>
      <c r="M611" s="183">
        <v>5027.6200000000008</v>
      </c>
      <c r="N611" s="43">
        <f t="shared" si="249"/>
        <v>0</v>
      </c>
      <c r="O611" s="183">
        <v>5011.68</v>
      </c>
      <c r="P611" s="183">
        <v>5019.5</v>
      </c>
      <c r="Q611" s="183">
        <v>5027.6200000000008</v>
      </c>
      <c r="R611" s="472">
        <f t="shared" si="258"/>
        <v>0</v>
      </c>
      <c r="S611" s="472">
        <f t="shared" si="259"/>
        <v>0</v>
      </c>
      <c r="T611" s="472">
        <f t="shared" si="260"/>
        <v>0</v>
      </c>
      <c r="U611" s="182" t="s">
        <v>354</v>
      </c>
      <c r="V611" s="36" t="s">
        <v>34</v>
      </c>
      <c r="W611" s="37" t="s">
        <v>82</v>
      </c>
      <c r="X611" s="37" t="s">
        <v>98</v>
      </c>
      <c r="Y611" s="37" t="s">
        <v>536</v>
      </c>
      <c r="Z611" s="37" t="s">
        <v>90</v>
      </c>
      <c r="AA611" s="12" t="b">
        <f t="shared" si="251"/>
        <v>1</v>
      </c>
      <c r="AB611" s="12" t="b">
        <f t="shared" si="252"/>
        <v>1</v>
      </c>
      <c r="AC611" s="12" t="b">
        <f t="shared" si="253"/>
        <v>1</v>
      </c>
      <c r="AD611" s="12" t="b">
        <f t="shared" si="254"/>
        <v>1</v>
      </c>
      <c r="AE611" s="12" t="b">
        <f t="shared" si="255"/>
        <v>1</v>
      </c>
      <c r="AF611" s="12" t="b">
        <f t="shared" si="256"/>
        <v>1</v>
      </c>
    </row>
    <row r="612" spans="1:32" s="12" customFormat="1" ht="15.75" customHeight="1">
      <c r="A612" s="285"/>
      <c r="B612" s="182" t="s">
        <v>254</v>
      </c>
      <c r="C612" s="36" t="s">
        <v>34</v>
      </c>
      <c r="D612" s="37" t="s">
        <v>82</v>
      </c>
      <c r="E612" s="37" t="s">
        <v>98</v>
      </c>
      <c r="F612" s="37" t="s">
        <v>907</v>
      </c>
      <c r="G612" s="37" t="s">
        <v>90</v>
      </c>
      <c r="H612" s="183">
        <f t="shared" ref="H612:J612" si="267">H613</f>
        <v>5011.68</v>
      </c>
      <c r="I612" s="183">
        <f t="shared" si="267"/>
        <v>5019.5</v>
      </c>
      <c r="J612" s="183">
        <f t="shared" si="267"/>
        <v>5027.6200000000008</v>
      </c>
      <c r="K612" s="183">
        <v>5011.68</v>
      </c>
      <c r="L612" s="183">
        <v>5019.5</v>
      </c>
      <c r="M612" s="183">
        <v>5027.6200000000008</v>
      </c>
      <c r="N612" s="43">
        <f t="shared" si="249"/>
        <v>0</v>
      </c>
      <c r="O612" s="183">
        <v>5011.68</v>
      </c>
      <c r="P612" s="183">
        <v>5019.5</v>
      </c>
      <c r="Q612" s="183">
        <v>5027.6200000000008</v>
      </c>
      <c r="R612" s="472">
        <f t="shared" si="258"/>
        <v>0</v>
      </c>
      <c r="S612" s="472">
        <f t="shared" si="259"/>
        <v>0</v>
      </c>
      <c r="T612" s="472">
        <f t="shared" si="260"/>
        <v>0</v>
      </c>
      <c r="U612" s="182" t="s">
        <v>254</v>
      </c>
      <c r="V612" s="36" t="s">
        <v>34</v>
      </c>
      <c r="W612" s="37" t="s">
        <v>82</v>
      </c>
      <c r="X612" s="37" t="s">
        <v>98</v>
      </c>
      <c r="Y612" s="37" t="s">
        <v>907</v>
      </c>
      <c r="Z612" s="37" t="s">
        <v>90</v>
      </c>
      <c r="AA612" s="12" t="b">
        <f t="shared" si="251"/>
        <v>1</v>
      </c>
      <c r="AB612" s="12" t="b">
        <f t="shared" si="252"/>
        <v>1</v>
      </c>
      <c r="AC612" s="12" t="b">
        <f t="shared" si="253"/>
        <v>1</v>
      </c>
      <c r="AD612" s="12" t="b">
        <f t="shared" si="254"/>
        <v>1</v>
      </c>
      <c r="AE612" s="12" t="b">
        <f t="shared" si="255"/>
        <v>1</v>
      </c>
      <c r="AF612" s="12" t="b">
        <f t="shared" si="256"/>
        <v>1</v>
      </c>
    </row>
    <row r="613" spans="1:32" s="12" customFormat="1" ht="15.75" customHeight="1">
      <c r="A613" s="285"/>
      <c r="B613" s="23" t="s">
        <v>132</v>
      </c>
      <c r="C613" s="36" t="s">
        <v>34</v>
      </c>
      <c r="D613" s="37" t="s">
        <v>82</v>
      </c>
      <c r="E613" s="37" t="s">
        <v>98</v>
      </c>
      <c r="F613" s="37" t="s">
        <v>907</v>
      </c>
      <c r="G613" s="37" t="s">
        <v>171</v>
      </c>
      <c r="H613" s="183">
        <f>4944.33+67.35</f>
        <v>5011.68</v>
      </c>
      <c r="I613" s="183">
        <f>4952.15+67.35</f>
        <v>5019.5</v>
      </c>
      <c r="J613" s="183">
        <f>4960.27+67.35</f>
        <v>5027.6200000000008</v>
      </c>
      <c r="K613" s="183">
        <v>5011.68</v>
      </c>
      <c r="L613" s="183">
        <v>5019.5</v>
      </c>
      <c r="M613" s="183">
        <v>5027.6200000000008</v>
      </c>
      <c r="N613" s="43">
        <f t="shared" si="249"/>
        <v>0</v>
      </c>
      <c r="O613" s="183">
        <v>5011.68</v>
      </c>
      <c r="P613" s="183">
        <v>5019.5</v>
      </c>
      <c r="Q613" s="183">
        <v>5027.6200000000008</v>
      </c>
      <c r="R613" s="472">
        <f t="shared" si="258"/>
        <v>0</v>
      </c>
      <c r="S613" s="472">
        <f t="shared" si="259"/>
        <v>0</v>
      </c>
      <c r="T613" s="472">
        <f t="shared" si="260"/>
        <v>0</v>
      </c>
      <c r="U613" s="23" t="s">
        <v>132</v>
      </c>
      <c r="V613" s="36" t="s">
        <v>34</v>
      </c>
      <c r="W613" s="37" t="s">
        <v>82</v>
      </c>
      <c r="X613" s="37" t="s">
        <v>98</v>
      </c>
      <c r="Y613" s="37" t="s">
        <v>907</v>
      </c>
      <c r="Z613" s="37" t="s">
        <v>171</v>
      </c>
      <c r="AA613" s="12" t="b">
        <f t="shared" si="251"/>
        <v>1</v>
      </c>
      <c r="AB613" s="12" t="b">
        <f t="shared" si="252"/>
        <v>1</v>
      </c>
      <c r="AC613" s="12" t="b">
        <f t="shared" si="253"/>
        <v>1</v>
      </c>
      <c r="AD613" s="12" t="b">
        <f t="shared" si="254"/>
        <v>1</v>
      </c>
      <c r="AE613" s="12" t="b">
        <f t="shared" si="255"/>
        <v>1</v>
      </c>
      <c r="AF613" s="12" t="b">
        <f t="shared" si="256"/>
        <v>1</v>
      </c>
    </row>
    <row r="614" spans="1:32" s="12" customFormat="1" ht="15.75" customHeight="1">
      <c r="A614" s="285"/>
      <c r="B614" s="182" t="s">
        <v>905</v>
      </c>
      <c r="C614" s="36" t="s">
        <v>34</v>
      </c>
      <c r="D614" s="37" t="s">
        <v>82</v>
      </c>
      <c r="E614" s="37" t="s">
        <v>98</v>
      </c>
      <c r="F614" s="37" t="s">
        <v>903</v>
      </c>
      <c r="G614" s="37" t="s">
        <v>90</v>
      </c>
      <c r="H614" s="183">
        <f>H615</f>
        <v>3324.09</v>
      </c>
      <c r="I614" s="183">
        <f t="shared" ref="I614:J614" si="268">I615</f>
        <v>0</v>
      </c>
      <c r="J614" s="183">
        <f t="shared" si="268"/>
        <v>0</v>
      </c>
      <c r="K614" s="183">
        <v>4695.47</v>
      </c>
      <c r="L614" s="183">
        <v>0</v>
      </c>
      <c r="M614" s="183">
        <v>0</v>
      </c>
      <c r="N614" s="43">
        <f t="shared" si="249"/>
        <v>1371.38</v>
      </c>
      <c r="O614" s="183">
        <v>4695.47</v>
      </c>
      <c r="P614" s="183">
        <v>0</v>
      </c>
      <c r="Q614" s="183">
        <v>0</v>
      </c>
      <c r="R614" s="472">
        <f t="shared" si="258"/>
        <v>-1371.38</v>
      </c>
      <c r="S614" s="472">
        <f t="shared" si="259"/>
        <v>0</v>
      </c>
      <c r="T614" s="472">
        <f t="shared" si="260"/>
        <v>0</v>
      </c>
      <c r="U614" s="182" t="s">
        <v>905</v>
      </c>
      <c r="V614" s="36" t="s">
        <v>34</v>
      </c>
      <c r="W614" s="37" t="s">
        <v>82</v>
      </c>
      <c r="X614" s="37" t="s">
        <v>98</v>
      </c>
      <c r="Y614" s="37" t="s">
        <v>903</v>
      </c>
      <c r="Z614" s="37" t="s">
        <v>90</v>
      </c>
      <c r="AA614" s="12" t="b">
        <f t="shared" si="251"/>
        <v>1</v>
      </c>
      <c r="AB614" s="12" t="b">
        <f t="shared" si="252"/>
        <v>1</v>
      </c>
      <c r="AC614" s="12" t="b">
        <f t="shared" si="253"/>
        <v>1</v>
      </c>
      <c r="AD614" s="12" t="b">
        <f t="shared" si="254"/>
        <v>1</v>
      </c>
      <c r="AE614" s="12" t="b">
        <f t="shared" si="255"/>
        <v>1</v>
      </c>
      <c r="AF614" s="12" t="b">
        <f t="shared" si="256"/>
        <v>1</v>
      </c>
    </row>
    <row r="615" spans="1:32" s="12" customFormat="1" ht="15.75" customHeight="1">
      <c r="A615" s="285"/>
      <c r="B615" s="182" t="s">
        <v>1279</v>
      </c>
      <c r="C615" s="36" t="s">
        <v>34</v>
      </c>
      <c r="D615" s="37" t="s">
        <v>82</v>
      </c>
      <c r="E615" s="37" t="s">
        <v>98</v>
      </c>
      <c r="F615" s="37" t="s">
        <v>1112</v>
      </c>
      <c r="G615" s="37" t="s">
        <v>90</v>
      </c>
      <c r="H615" s="183">
        <f>H616</f>
        <v>3324.09</v>
      </c>
      <c r="I615" s="183">
        <f>I616</f>
        <v>0</v>
      </c>
      <c r="J615" s="183">
        <f>J616</f>
        <v>0</v>
      </c>
      <c r="K615" s="183">
        <v>4695.47</v>
      </c>
      <c r="L615" s="183">
        <v>0</v>
      </c>
      <c r="M615" s="183">
        <v>0</v>
      </c>
      <c r="N615" s="43">
        <f t="shared" si="249"/>
        <v>1371.38</v>
      </c>
      <c r="O615" s="183">
        <v>4695.47</v>
      </c>
      <c r="P615" s="183">
        <v>0</v>
      </c>
      <c r="Q615" s="183">
        <v>0</v>
      </c>
      <c r="R615" s="472">
        <f t="shared" si="258"/>
        <v>-1371.38</v>
      </c>
      <c r="S615" s="472">
        <f t="shared" si="259"/>
        <v>0</v>
      </c>
      <c r="T615" s="472">
        <f t="shared" si="260"/>
        <v>0</v>
      </c>
      <c r="U615" s="182" t="s">
        <v>1113</v>
      </c>
      <c r="V615" s="36" t="s">
        <v>34</v>
      </c>
      <c r="W615" s="37" t="s">
        <v>82</v>
      </c>
      <c r="X615" s="37" t="s">
        <v>98</v>
      </c>
      <c r="Y615" s="37" t="s">
        <v>1112</v>
      </c>
      <c r="Z615" s="37" t="s">
        <v>90</v>
      </c>
      <c r="AA615" s="12" t="b">
        <f t="shared" si="251"/>
        <v>0</v>
      </c>
      <c r="AB615" s="12" t="b">
        <f t="shared" si="252"/>
        <v>1</v>
      </c>
      <c r="AC615" s="12" t="b">
        <f t="shared" si="253"/>
        <v>1</v>
      </c>
      <c r="AD615" s="12" t="b">
        <f t="shared" si="254"/>
        <v>1</v>
      </c>
      <c r="AE615" s="12" t="b">
        <f t="shared" si="255"/>
        <v>1</v>
      </c>
      <c r="AF615" s="12" t="b">
        <f t="shared" si="256"/>
        <v>1</v>
      </c>
    </row>
    <row r="616" spans="1:32" s="12" customFormat="1" ht="15.75" customHeight="1">
      <c r="A616" s="285"/>
      <c r="B616" s="23" t="s">
        <v>132</v>
      </c>
      <c r="C616" s="36" t="s">
        <v>34</v>
      </c>
      <c r="D616" s="37" t="s">
        <v>82</v>
      </c>
      <c r="E616" s="37" t="s">
        <v>98</v>
      </c>
      <c r="F616" s="37" t="s">
        <v>1112</v>
      </c>
      <c r="G616" s="37" t="s">
        <v>171</v>
      </c>
      <c r="H616" s="183">
        <f>4695.47-1302.81-68.57</f>
        <v>3324.09</v>
      </c>
      <c r="I616" s="183">
        <v>0</v>
      </c>
      <c r="J616" s="183">
        <v>0</v>
      </c>
      <c r="K616" s="183">
        <v>4695.47</v>
      </c>
      <c r="L616" s="183">
        <v>0</v>
      </c>
      <c r="M616" s="183">
        <v>0</v>
      </c>
      <c r="N616" s="43">
        <f t="shared" si="249"/>
        <v>1371.38</v>
      </c>
      <c r="O616" s="183">
        <v>4695.47</v>
      </c>
      <c r="P616" s="183">
        <v>0</v>
      </c>
      <c r="Q616" s="183">
        <v>0</v>
      </c>
      <c r="R616" s="472">
        <f t="shared" si="258"/>
        <v>-1371.38</v>
      </c>
      <c r="S616" s="472">
        <f t="shared" si="259"/>
        <v>0</v>
      </c>
      <c r="T616" s="472">
        <f t="shared" si="260"/>
        <v>0</v>
      </c>
      <c r="U616" s="23" t="s">
        <v>132</v>
      </c>
      <c r="V616" s="36" t="s">
        <v>34</v>
      </c>
      <c r="W616" s="37" t="s">
        <v>82</v>
      </c>
      <c r="X616" s="37" t="s">
        <v>98</v>
      </c>
      <c r="Y616" s="37" t="s">
        <v>1112</v>
      </c>
      <c r="Z616" s="37" t="s">
        <v>171</v>
      </c>
      <c r="AA616" s="12" t="b">
        <f t="shared" si="251"/>
        <v>1</v>
      </c>
      <c r="AB616" s="12" t="b">
        <f t="shared" si="252"/>
        <v>1</v>
      </c>
      <c r="AC616" s="12" t="b">
        <f t="shared" si="253"/>
        <v>1</v>
      </c>
      <c r="AD616" s="12" t="b">
        <f t="shared" si="254"/>
        <v>1</v>
      </c>
      <c r="AE616" s="12" t="b">
        <f t="shared" si="255"/>
        <v>1</v>
      </c>
      <c r="AF616" s="12" t="b">
        <f t="shared" si="256"/>
        <v>1</v>
      </c>
    </row>
    <row r="617" spans="1:32" s="12" customFormat="1" ht="15.75" customHeight="1">
      <c r="A617" s="285"/>
      <c r="B617" s="182" t="s">
        <v>1145</v>
      </c>
      <c r="C617" s="36" t="s">
        <v>34</v>
      </c>
      <c r="D617" s="37" t="s">
        <v>82</v>
      </c>
      <c r="E617" s="37" t="s">
        <v>98</v>
      </c>
      <c r="F617" s="37" t="s">
        <v>1142</v>
      </c>
      <c r="G617" s="37" t="s">
        <v>90</v>
      </c>
      <c r="H617" s="183">
        <f>H618</f>
        <v>1000</v>
      </c>
      <c r="I617" s="183">
        <f t="shared" ref="I617:J617" si="269">I618</f>
        <v>0</v>
      </c>
      <c r="J617" s="183">
        <f t="shared" si="269"/>
        <v>0</v>
      </c>
      <c r="K617" s="183">
        <v>1000</v>
      </c>
      <c r="L617" s="183">
        <v>0</v>
      </c>
      <c r="M617" s="183">
        <v>0</v>
      </c>
      <c r="N617" s="43">
        <f t="shared" si="249"/>
        <v>0</v>
      </c>
      <c r="O617" s="183">
        <v>1000</v>
      </c>
      <c r="P617" s="183">
        <v>0</v>
      </c>
      <c r="Q617" s="183">
        <v>0</v>
      </c>
      <c r="R617" s="472"/>
      <c r="S617" s="472"/>
      <c r="T617" s="472"/>
      <c r="U617" s="182" t="s">
        <v>1145</v>
      </c>
      <c r="V617" s="36" t="s">
        <v>34</v>
      </c>
      <c r="W617" s="37" t="s">
        <v>82</v>
      </c>
      <c r="X617" s="37" t="s">
        <v>98</v>
      </c>
      <c r="Y617" s="37" t="s">
        <v>1142</v>
      </c>
      <c r="Z617" s="37" t="s">
        <v>90</v>
      </c>
      <c r="AA617" s="12" t="b">
        <f t="shared" si="251"/>
        <v>1</v>
      </c>
      <c r="AB617" s="12" t="b">
        <f t="shared" si="252"/>
        <v>1</v>
      </c>
      <c r="AC617" s="12" t="b">
        <f t="shared" si="253"/>
        <v>1</v>
      </c>
      <c r="AD617" s="12" t="b">
        <f t="shared" si="254"/>
        <v>1</v>
      </c>
      <c r="AE617" s="12" t="b">
        <f t="shared" si="255"/>
        <v>1</v>
      </c>
      <c r="AF617" s="12" t="b">
        <f t="shared" si="256"/>
        <v>1</v>
      </c>
    </row>
    <row r="618" spans="1:32" s="12" customFormat="1" ht="15.75" customHeight="1">
      <c r="A618" s="285"/>
      <c r="B618" s="182" t="s">
        <v>1144</v>
      </c>
      <c r="C618" s="36" t="s">
        <v>34</v>
      </c>
      <c r="D618" s="37" t="s">
        <v>82</v>
      </c>
      <c r="E618" s="37" t="s">
        <v>98</v>
      </c>
      <c r="F618" s="37" t="s">
        <v>1143</v>
      </c>
      <c r="G618" s="37" t="s">
        <v>90</v>
      </c>
      <c r="H618" s="183">
        <f>H619</f>
        <v>1000</v>
      </c>
      <c r="I618" s="183">
        <f t="shared" ref="I618:J618" si="270">I619</f>
        <v>0</v>
      </c>
      <c r="J618" s="183">
        <f t="shared" si="270"/>
        <v>0</v>
      </c>
      <c r="K618" s="183">
        <v>1000</v>
      </c>
      <c r="L618" s="183">
        <v>0</v>
      </c>
      <c r="M618" s="183">
        <v>0</v>
      </c>
      <c r="N618" s="43">
        <f t="shared" si="249"/>
        <v>0</v>
      </c>
      <c r="O618" s="183">
        <v>1000</v>
      </c>
      <c r="P618" s="183">
        <v>0</v>
      </c>
      <c r="Q618" s="183">
        <v>0</v>
      </c>
      <c r="R618" s="472"/>
      <c r="S618" s="472"/>
      <c r="T618" s="472"/>
      <c r="U618" s="182" t="s">
        <v>1144</v>
      </c>
      <c r="V618" s="36" t="s">
        <v>34</v>
      </c>
      <c r="W618" s="37" t="s">
        <v>82</v>
      </c>
      <c r="X618" s="37" t="s">
        <v>98</v>
      </c>
      <c r="Y618" s="37" t="s">
        <v>1143</v>
      </c>
      <c r="Z618" s="37" t="s">
        <v>90</v>
      </c>
      <c r="AA618" s="12" t="b">
        <f t="shared" si="251"/>
        <v>1</v>
      </c>
      <c r="AB618" s="12" t="b">
        <f t="shared" si="252"/>
        <v>1</v>
      </c>
      <c r="AC618" s="12" t="b">
        <f t="shared" si="253"/>
        <v>1</v>
      </c>
      <c r="AD618" s="12" t="b">
        <f t="shared" si="254"/>
        <v>1</v>
      </c>
      <c r="AE618" s="12" t="b">
        <f t="shared" si="255"/>
        <v>1</v>
      </c>
      <c r="AF618" s="12" t="b">
        <f t="shared" si="256"/>
        <v>1</v>
      </c>
    </row>
    <row r="619" spans="1:32" s="12" customFormat="1" ht="15.75" customHeight="1">
      <c r="A619" s="285"/>
      <c r="B619" s="23" t="s">
        <v>133</v>
      </c>
      <c r="C619" s="36" t="s">
        <v>34</v>
      </c>
      <c r="D619" s="37" t="s">
        <v>82</v>
      </c>
      <c r="E619" s="37" t="s">
        <v>98</v>
      </c>
      <c r="F619" s="37" t="s">
        <v>1143</v>
      </c>
      <c r="G619" s="37" t="s">
        <v>19</v>
      </c>
      <c r="H619" s="183">
        <v>1000</v>
      </c>
      <c r="I619" s="183"/>
      <c r="J619" s="183"/>
      <c r="K619" s="183">
        <v>1000</v>
      </c>
      <c r="L619" s="183"/>
      <c r="M619" s="183"/>
      <c r="N619" s="43">
        <f t="shared" si="249"/>
        <v>0</v>
      </c>
      <c r="O619" s="60">
        <v>1000</v>
      </c>
      <c r="P619" s="60"/>
      <c r="Q619" s="60"/>
      <c r="R619" s="472"/>
      <c r="S619" s="472"/>
      <c r="T619" s="472"/>
      <c r="U619" s="23" t="s">
        <v>132</v>
      </c>
      <c r="V619" s="36" t="s">
        <v>34</v>
      </c>
      <c r="W619" s="37" t="s">
        <v>82</v>
      </c>
      <c r="X619" s="37" t="s">
        <v>98</v>
      </c>
      <c r="Y619" s="37" t="s">
        <v>1143</v>
      </c>
      <c r="Z619" s="37" t="s">
        <v>171</v>
      </c>
      <c r="AA619" s="12" t="b">
        <f t="shared" si="251"/>
        <v>0</v>
      </c>
      <c r="AB619" s="12" t="b">
        <f t="shared" si="252"/>
        <v>1</v>
      </c>
      <c r="AC619" s="12" t="b">
        <f t="shared" si="253"/>
        <v>1</v>
      </c>
      <c r="AD619" s="12" t="b">
        <f t="shared" si="254"/>
        <v>1</v>
      </c>
      <c r="AE619" s="12" t="b">
        <f t="shared" si="255"/>
        <v>1</v>
      </c>
      <c r="AF619" s="12" t="b">
        <f t="shared" si="256"/>
        <v>0</v>
      </c>
    </row>
    <row r="620" spans="1:32" s="12" customFormat="1" ht="15.75" customHeight="1">
      <c r="A620" s="285"/>
      <c r="B620" s="182" t="s">
        <v>667</v>
      </c>
      <c r="C620" s="36" t="s">
        <v>34</v>
      </c>
      <c r="D620" s="37" t="s">
        <v>82</v>
      </c>
      <c r="E620" s="37" t="s">
        <v>98</v>
      </c>
      <c r="F620" s="56" t="s">
        <v>255</v>
      </c>
      <c r="G620" s="56" t="s">
        <v>90</v>
      </c>
      <c r="H620" s="60">
        <f>H621</f>
        <v>16023.29</v>
      </c>
      <c r="I620" s="60">
        <f t="shared" ref="I620:J620" si="271">I621</f>
        <v>16023.29</v>
      </c>
      <c r="J620" s="60">
        <f t="shared" si="271"/>
        <v>16023.29</v>
      </c>
      <c r="K620" s="60">
        <v>16023.29</v>
      </c>
      <c r="L620" s="60">
        <v>16023.29</v>
      </c>
      <c r="M620" s="60">
        <v>16023.29</v>
      </c>
      <c r="N620" s="43">
        <f t="shared" si="249"/>
        <v>0</v>
      </c>
      <c r="O620" s="60">
        <v>16023.29</v>
      </c>
      <c r="P620" s="60">
        <v>16023.29</v>
      </c>
      <c r="Q620" s="60">
        <v>16023.29</v>
      </c>
      <c r="R620" s="472">
        <f t="shared" ref="R620:R660" si="272">H620-O620</f>
        <v>0</v>
      </c>
      <c r="S620" s="472">
        <f t="shared" ref="S620:S660" si="273">I620-P620</f>
        <v>0</v>
      </c>
      <c r="T620" s="472">
        <f t="shared" ref="T620:T660" si="274">J620-Q620</f>
        <v>0</v>
      </c>
      <c r="U620" s="182" t="s">
        <v>667</v>
      </c>
      <c r="V620" s="36" t="s">
        <v>34</v>
      </c>
      <c r="W620" s="37" t="s">
        <v>82</v>
      </c>
      <c r="X620" s="37" t="s">
        <v>98</v>
      </c>
      <c r="Y620" s="56" t="s">
        <v>255</v>
      </c>
      <c r="Z620" s="56" t="s">
        <v>90</v>
      </c>
      <c r="AA620" s="12" t="b">
        <f t="shared" si="251"/>
        <v>1</v>
      </c>
      <c r="AB620" s="12" t="b">
        <f t="shared" si="252"/>
        <v>1</v>
      </c>
      <c r="AC620" s="12" t="b">
        <f t="shared" si="253"/>
        <v>1</v>
      </c>
      <c r="AD620" s="12" t="b">
        <f t="shared" si="254"/>
        <v>1</v>
      </c>
      <c r="AE620" s="12" t="b">
        <f t="shared" si="255"/>
        <v>1</v>
      </c>
      <c r="AF620" s="12" t="b">
        <f t="shared" si="256"/>
        <v>1</v>
      </c>
    </row>
    <row r="621" spans="1:32" s="12" customFormat="1" ht="15.75" customHeight="1">
      <c r="A621" s="285"/>
      <c r="B621" s="182" t="s">
        <v>814</v>
      </c>
      <c r="C621" s="36" t="s">
        <v>34</v>
      </c>
      <c r="D621" s="37" t="s">
        <v>82</v>
      </c>
      <c r="E621" s="37" t="s">
        <v>98</v>
      </c>
      <c r="F621" s="56" t="s">
        <v>256</v>
      </c>
      <c r="G621" s="56" t="s">
        <v>90</v>
      </c>
      <c r="H621" s="60">
        <f>H622+H625</f>
        <v>16023.29</v>
      </c>
      <c r="I621" s="60">
        <f>I622+I625</f>
        <v>16023.29</v>
      </c>
      <c r="J621" s="60">
        <f>J622+J625</f>
        <v>16023.29</v>
      </c>
      <c r="K621" s="60">
        <v>16023.29</v>
      </c>
      <c r="L621" s="60">
        <v>16023.29</v>
      </c>
      <c r="M621" s="60">
        <v>16023.29</v>
      </c>
      <c r="N621" s="43">
        <f t="shared" si="249"/>
        <v>0</v>
      </c>
      <c r="O621" s="60">
        <v>16023.29</v>
      </c>
      <c r="P621" s="60">
        <v>16023.29</v>
      </c>
      <c r="Q621" s="60">
        <v>16023.29</v>
      </c>
      <c r="R621" s="472">
        <f t="shared" si="272"/>
        <v>0</v>
      </c>
      <c r="S621" s="472">
        <f t="shared" si="273"/>
        <v>0</v>
      </c>
      <c r="T621" s="472">
        <f t="shared" si="274"/>
        <v>0</v>
      </c>
      <c r="U621" s="182" t="s">
        <v>814</v>
      </c>
      <c r="V621" s="36" t="s">
        <v>34</v>
      </c>
      <c r="W621" s="37" t="s">
        <v>82</v>
      </c>
      <c r="X621" s="37" t="s">
        <v>98</v>
      </c>
      <c r="Y621" s="56" t="s">
        <v>256</v>
      </c>
      <c r="Z621" s="56" t="s">
        <v>90</v>
      </c>
      <c r="AA621" s="12" t="b">
        <f t="shared" si="251"/>
        <v>1</v>
      </c>
      <c r="AB621" s="12" t="b">
        <f t="shared" si="252"/>
        <v>1</v>
      </c>
      <c r="AC621" s="12" t="b">
        <f t="shared" si="253"/>
        <v>1</v>
      </c>
      <c r="AD621" s="12" t="b">
        <f t="shared" si="254"/>
        <v>1</v>
      </c>
      <c r="AE621" s="12" t="b">
        <f t="shared" si="255"/>
        <v>1</v>
      </c>
      <c r="AF621" s="12" t="b">
        <f t="shared" si="256"/>
        <v>1</v>
      </c>
    </row>
    <row r="622" spans="1:32" s="12" customFormat="1" ht="15.75" customHeight="1">
      <c r="A622" s="285"/>
      <c r="B622" s="182" t="s">
        <v>818</v>
      </c>
      <c r="C622" s="36" t="s">
        <v>34</v>
      </c>
      <c r="D622" s="37" t="s">
        <v>82</v>
      </c>
      <c r="E622" s="37" t="s">
        <v>98</v>
      </c>
      <c r="F622" s="36" t="s">
        <v>815</v>
      </c>
      <c r="G622" s="56" t="s">
        <v>90</v>
      </c>
      <c r="H622" s="60">
        <f t="shared" ref="H622:J622" si="275">H623</f>
        <v>76.5</v>
      </c>
      <c r="I622" s="60">
        <f t="shared" si="275"/>
        <v>76.5</v>
      </c>
      <c r="J622" s="60">
        <f t="shared" si="275"/>
        <v>76.5</v>
      </c>
      <c r="K622" s="60">
        <v>76.5</v>
      </c>
      <c r="L622" s="60">
        <v>76.5</v>
      </c>
      <c r="M622" s="60">
        <v>76.5</v>
      </c>
      <c r="N622" s="43">
        <f t="shared" si="249"/>
        <v>0</v>
      </c>
      <c r="O622" s="60">
        <v>76.5</v>
      </c>
      <c r="P622" s="60">
        <v>76.5</v>
      </c>
      <c r="Q622" s="60">
        <v>76.5</v>
      </c>
      <c r="R622" s="472">
        <f t="shared" si="272"/>
        <v>0</v>
      </c>
      <c r="S622" s="472">
        <f t="shared" si="273"/>
        <v>0</v>
      </c>
      <c r="T622" s="472">
        <f t="shared" si="274"/>
        <v>0</v>
      </c>
      <c r="U622" s="182" t="s">
        <v>818</v>
      </c>
      <c r="V622" s="36" t="s">
        <v>34</v>
      </c>
      <c r="W622" s="37" t="s">
        <v>82</v>
      </c>
      <c r="X622" s="37" t="s">
        <v>98</v>
      </c>
      <c r="Y622" s="36" t="s">
        <v>815</v>
      </c>
      <c r="Z622" s="56" t="s">
        <v>90</v>
      </c>
      <c r="AA622" s="12" t="b">
        <f t="shared" si="251"/>
        <v>1</v>
      </c>
      <c r="AB622" s="12" t="b">
        <f t="shared" si="252"/>
        <v>1</v>
      </c>
      <c r="AC622" s="12" t="b">
        <f t="shared" si="253"/>
        <v>1</v>
      </c>
      <c r="AD622" s="12" t="b">
        <f t="shared" si="254"/>
        <v>1</v>
      </c>
      <c r="AE622" s="12" t="b">
        <f t="shared" si="255"/>
        <v>1</v>
      </c>
      <c r="AF622" s="12" t="b">
        <f t="shared" si="256"/>
        <v>1</v>
      </c>
    </row>
    <row r="623" spans="1:32" s="12" customFormat="1" ht="15.75" customHeight="1">
      <c r="A623" s="285"/>
      <c r="B623" s="54" t="s">
        <v>158</v>
      </c>
      <c r="C623" s="36" t="s">
        <v>34</v>
      </c>
      <c r="D623" s="37" t="s">
        <v>82</v>
      </c>
      <c r="E623" s="37" t="s">
        <v>98</v>
      </c>
      <c r="F623" s="36" t="s">
        <v>816</v>
      </c>
      <c r="G623" s="56" t="s">
        <v>90</v>
      </c>
      <c r="H623" s="60">
        <f>SUM(H624:H624)</f>
        <v>76.5</v>
      </c>
      <c r="I623" s="60">
        <f>SUM(I624:I624)</f>
        <v>76.5</v>
      </c>
      <c r="J623" s="60">
        <f>SUM(J624:J624)</f>
        <v>76.5</v>
      </c>
      <c r="K623" s="60">
        <v>76.5</v>
      </c>
      <c r="L623" s="60">
        <v>76.5</v>
      </c>
      <c r="M623" s="60">
        <v>76.5</v>
      </c>
      <c r="N623" s="43">
        <f t="shared" si="249"/>
        <v>0</v>
      </c>
      <c r="O623" s="60">
        <v>76.5</v>
      </c>
      <c r="P623" s="60">
        <v>76.5</v>
      </c>
      <c r="Q623" s="60">
        <v>76.5</v>
      </c>
      <c r="R623" s="472">
        <f t="shared" si="272"/>
        <v>0</v>
      </c>
      <c r="S623" s="472">
        <f t="shared" si="273"/>
        <v>0</v>
      </c>
      <c r="T623" s="472">
        <f t="shared" si="274"/>
        <v>0</v>
      </c>
      <c r="U623" s="54" t="s">
        <v>158</v>
      </c>
      <c r="V623" s="36" t="s">
        <v>34</v>
      </c>
      <c r="W623" s="37" t="s">
        <v>82</v>
      </c>
      <c r="X623" s="37" t="s">
        <v>98</v>
      </c>
      <c r="Y623" s="36" t="s">
        <v>816</v>
      </c>
      <c r="Z623" s="56" t="s">
        <v>90</v>
      </c>
      <c r="AA623" s="12" t="b">
        <f t="shared" ref="AA623:AA687" si="276">B623=U623</f>
        <v>1</v>
      </c>
      <c r="AB623" s="12" t="b">
        <f t="shared" ref="AB623:AB687" si="277">C623=V623</f>
        <v>1</v>
      </c>
      <c r="AC623" s="12" t="b">
        <f t="shared" ref="AC623:AC687" si="278">D623=W623</f>
        <v>1</v>
      </c>
      <c r="AD623" s="12" t="b">
        <f t="shared" ref="AD623:AD687" si="279">E623=X623</f>
        <v>1</v>
      </c>
      <c r="AE623" s="12" t="b">
        <f t="shared" ref="AE623:AE687" si="280">F623=Y623</f>
        <v>1</v>
      </c>
      <c r="AF623" s="12" t="b">
        <f t="shared" ref="AF623:AF687" si="281">G623=Z623</f>
        <v>1</v>
      </c>
    </row>
    <row r="624" spans="1:32" s="12" customFormat="1" ht="15.75" customHeight="1">
      <c r="A624" s="285"/>
      <c r="B624" s="23" t="s">
        <v>133</v>
      </c>
      <c r="C624" s="36" t="s">
        <v>34</v>
      </c>
      <c r="D624" s="37" t="s">
        <v>82</v>
      </c>
      <c r="E624" s="37" t="s">
        <v>98</v>
      </c>
      <c r="F624" s="36" t="s">
        <v>816</v>
      </c>
      <c r="G624" s="36" t="s">
        <v>19</v>
      </c>
      <c r="H624" s="183">
        <v>76.5</v>
      </c>
      <c r="I624" s="183">
        <v>76.5</v>
      </c>
      <c r="J624" s="183">
        <v>76.5</v>
      </c>
      <c r="K624" s="183">
        <v>76.5</v>
      </c>
      <c r="L624" s="183">
        <v>76.5</v>
      </c>
      <c r="M624" s="183">
        <v>76.5</v>
      </c>
      <c r="N624" s="43">
        <f t="shared" si="249"/>
        <v>0</v>
      </c>
      <c r="O624" s="183">
        <v>76.5</v>
      </c>
      <c r="P624" s="183">
        <v>76.5</v>
      </c>
      <c r="Q624" s="183">
        <v>76.5</v>
      </c>
      <c r="R624" s="472">
        <f t="shared" si="272"/>
        <v>0</v>
      </c>
      <c r="S624" s="472">
        <f t="shared" si="273"/>
        <v>0</v>
      </c>
      <c r="T624" s="472">
        <f t="shared" si="274"/>
        <v>0</v>
      </c>
      <c r="U624" s="23" t="s">
        <v>132</v>
      </c>
      <c r="V624" s="36" t="s">
        <v>34</v>
      </c>
      <c r="W624" s="37" t="s">
        <v>82</v>
      </c>
      <c r="X624" s="37" t="s">
        <v>98</v>
      </c>
      <c r="Y624" s="36" t="s">
        <v>816</v>
      </c>
      <c r="Z624" s="36" t="s">
        <v>171</v>
      </c>
      <c r="AA624" s="12" t="b">
        <f t="shared" si="276"/>
        <v>0</v>
      </c>
      <c r="AB624" s="12" t="b">
        <f t="shared" si="277"/>
        <v>1</v>
      </c>
      <c r="AC624" s="12" t="b">
        <f t="shared" si="278"/>
        <v>1</v>
      </c>
      <c r="AD624" s="12" t="b">
        <f t="shared" si="279"/>
        <v>1</v>
      </c>
      <c r="AE624" s="12" t="b">
        <f t="shared" si="280"/>
        <v>1</v>
      </c>
      <c r="AF624" s="12" t="b">
        <f t="shared" si="281"/>
        <v>0</v>
      </c>
    </row>
    <row r="625" spans="1:32" s="12" customFormat="1" ht="15.75" customHeight="1">
      <c r="A625" s="285"/>
      <c r="B625" s="182" t="s">
        <v>1023</v>
      </c>
      <c r="C625" s="36" t="s">
        <v>34</v>
      </c>
      <c r="D625" s="37" t="s">
        <v>82</v>
      </c>
      <c r="E625" s="37" t="s">
        <v>98</v>
      </c>
      <c r="F625" s="37" t="s">
        <v>1022</v>
      </c>
      <c r="G625" s="37" t="s">
        <v>90</v>
      </c>
      <c r="H625" s="183">
        <f>H626</f>
        <v>15946.79</v>
      </c>
      <c r="I625" s="183">
        <f>I626</f>
        <v>15946.79</v>
      </c>
      <c r="J625" s="183">
        <f>J626</f>
        <v>15946.79</v>
      </c>
      <c r="K625" s="183">
        <v>15946.79</v>
      </c>
      <c r="L625" s="183">
        <v>15946.79</v>
      </c>
      <c r="M625" s="183">
        <v>15946.79</v>
      </c>
      <c r="N625" s="43">
        <f t="shared" si="249"/>
        <v>0</v>
      </c>
      <c r="O625" s="183">
        <v>15946.79</v>
      </c>
      <c r="P625" s="183">
        <v>15946.79</v>
      </c>
      <c r="Q625" s="183">
        <v>15946.79</v>
      </c>
      <c r="R625" s="472">
        <f t="shared" si="272"/>
        <v>0</v>
      </c>
      <c r="S625" s="472">
        <f t="shared" si="273"/>
        <v>0</v>
      </c>
      <c r="T625" s="472">
        <f t="shared" si="274"/>
        <v>0</v>
      </c>
      <c r="U625" s="182" t="s">
        <v>1023</v>
      </c>
      <c r="V625" s="36" t="s">
        <v>34</v>
      </c>
      <c r="W625" s="37" t="s">
        <v>82</v>
      </c>
      <c r="X625" s="37" t="s">
        <v>98</v>
      </c>
      <c r="Y625" s="37" t="s">
        <v>1022</v>
      </c>
      <c r="Z625" s="37" t="s">
        <v>90</v>
      </c>
      <c r="AA625" s="12" t="b">
        <f t="shared" si="276"/>
        <v>1</v>
      </c>
      <c r="AB625" s="12" t="b">
        <f t="shared" si="277"/>
        <v>1</v>
      </c>
      <c r="AC625" s="12" t="b">
        <f t="shared" si="278"/>
        <v>1</v>
      </c>
      <c r="AD625" s="12" t="b">
        <f t="shared" si="279"/>
        <v>1</v>
      </c>
      <c r="AE625" s="12" t="b">
        <f t="shared" si="280"/>
        <v>1</v>
      </c>
      <c r="AF625" s="12" t="b">
        <f t="shared" si="281"/>
        <v>1</v>
      </c>
    </row>
    <row r="626" spans="1:32" s="12" customFormat="1" ht="15.75" customHeight="1">
      <c r="A626" s="285"/>
      <c r="B626" s="23" t="s">
        <v>1028</v>
      </c>
      <c r="C626" s="36" t="s">
        <v>34</v>
      </c>
      <c r="D626" s="37" t="s">
        <v>82</v>
      </c>
      <c r="E626" s="37" t="s">
        <v>98</v>
      </c>
      <c r="F626" s="37" t="s">
        <v>1027</v>
      </c>
      <c r="G626" s="37" t="s">
        <v>90</v>
      </c>
      <c r="H626" s="183">
        <f>H627+H628</f>
        <v>15946.79</v>
      </c>
      <c r="I626" s="183">
        <f>I627+I628</f>
        <v>15946.79</v>
      </c>
      <c r="J626" s="183">
        <f>J627+J628</f>
        <v>15946.79</v>
      </c>
      <c r="K626" s="183">
        <v>15946.79</v>
      </c>
      <c r="L626" s="183">
        <v>15946.79</v>
      </c>
      <c r="M626" s="183">
        <v>15946.79</v>
      </c>
      <c r="N626" s="43">
        <f t="shared" si="249"/>
        <v>0</v>
      </c>
      <c r="O626" s="183">
        <v>15946.79</v>
      </c>
      <c r="P626" s="183">
        <v>15946.79</v>
      </c>
      <c r="Q626" s="183">
        <v>15946.79</v>
      </c>
      <c r="R626" s="472">
        <f t="shared" si="272"/>
        <v>0</v>
      </c>
      <c r="S626" s="472">
        <f t="shared" si="273"/>
        <v>0</v>
      </c>
      <c r="T626" s="472">
        <f t="shared" si="274"/>
        <v>0</v>
      </c>
      <c r="U626" s="23" t="s">
        <v>1028</v>
      </c>
      <c r="V626" s="36" t="s">
        <v>34</v>
      </c>
      <c r="W626" s="37" t="s">
        <v>82</v>
      </c>
      <c r="X626" s="37" t="s">
        <v>98</v>
      </c>
      <c r="Y626" s="37" t="s">
        <v>1027</v>
      </c>
      <c r="Z626" s="37" t="s">
        <v>90</v>
      </c>
      <c r="AA626" s="12" t="b">
        <f t="shared" si="276"/>
        <v>1</v>
      </c>
      <c r="AB626" s="12" t="b">
        <f t="shared" si="277"/>
        <v>1</v>
      </c>
      <c r="AC626" s="12" t="b">
        <f t="shared" si="278"/>
        <v>1</v>
      </c>
      <c r="AD626" s="12" t="b">
        <f t="shared" si="279"/>
        <v>1</v>
      </c>
      <c r="AE626" s="12" t="b">
        <f t="shared" si="280"/>
        <v>1</v>
      </c>
      <c r="AF626" s="12" t="b">
        <f t="shared" si="281"/>
        <v>1</v>
      </c>
    </row>
    <row r="627" spans="1:32" s="12" customFormat="1" ht="15.75" customHeight="1">
      <c r="A627" s="285"/>
      <c r="B627" s="23" t="s">
        <v>132</v>
      </c>
      <c r="C627" s="36" t="s">
        <v>34</v>
      </c>
      <c r="D627" s="37" t="s">
        <v>82</v>
      </c>
      <c r="E627" s="37" t="s">
        <v>98</v>
      </c>
      <c r="F627" s="37" t="s">
        <v>1027</v>
      </c>
      <c r="G627" s="37" t="s">
        <v>171</v>
      </c>
      <c r="H627" s="183">
        <f>3077.54+12+952.48-284.52</f>
        <v>3757.5</v>
      </c>
      <c r="I627" s="183">
        <f>3077.54+12+952.48-284.52</f>
        <v>3757.5</v>
      </c>
      <c r="J627" s="183">
        <f>3077.54+12+952.48-284.52</f>
        <v>3757.5</v>
      </c>
      <c r="K627" s="183">
        <v>3757.5</v>
      </c>
      <c r="L627" s="183">
        <v>3757.5</v>
      </c>
      <c r="M627" s="183">
        <v>3757.5</v>
      </c>
      <c r="N627" s="43">
        <f t="shared" si="249"/>
        <v>0</v>
      </c>
      <c r="O627" s="183">
        <v>4042.02</v>
      </c>
      <c r="P627" s="183">
        <v>4042.02</v>
      </c>
      <c r="Q627" s="183">
        <v>4042.02</v>
      </c>
      <c r="R627" s="472">
        <f t="shared" si="272"/>
        <v>-284.52</v>
      </c>
      <c r="S627" s="472">
        <f t="shared" si="273"/>
        <v>-284.52</v>
      </c>
      <c r="T627" s="472">
        <f t="shared" si="274"/>
        <v>-284.52</v>
      </c>
      <c r="U627" s="23" t="s">
        <v>132</v>
      </c>
      <c r="V627" s="36" t="s">
        <v>34</v>
      </c>
      <c r="W627" s="37" t="s">
        <v>82</v>
      </c>
      <c r="X627" s="37" t="s">
        <v>98</v>
      </c>
      <c r="Y627" s="37" t="s">
        <v>1027</v>
      </c>
      <c r="Z627" s="37" t="s">
        <v>171</v>
      </c>
      <c r="AA627" s="12" t="b">
        <f t="shared" si="276"/>
        <v>1</v>
      </c>
      <c r="AB627" s="12" t="b">
        <f t="shared" si="277"/>
        <v>1</v>
      </c>
      <c r="AC627" s="12" t="b">
        <f t="shared" si="278"/>
        <v>1</v>
      </c>
      <c r="AD627" s="12" t="b">
        <f t="shared" si="279"/>
        <v>1</v>
      </c>
      <c r="AE627" s="12" t="b">
        <f t="shared" si="280"/>
        <v>1</v>
      </c>
      <c r="AF627" s="12" t="b">
        <f t="shared" si="281"/>
        <v>1</v>
      </c>
    </row>
    <row r="628" spans="1:32" s="12" customFormat="1" ht="15.75" customHeight="1">
      <c r="A628" s="285"/>
      <c r="B628" s="23" t="s">
        <v>133</v>
      </c>
      <c r="C628" s="36" t="s">
        <v>34</v>
      </c>
      <c r="D628" s="37" t="s">
        <v>82</v>
      </c>
      <c r="E628" s="37" t="s">
        <v>98</v>
      </c>
      <c r="F628" s="37" t="s">
        <v>1027</v>
      </c>
      <c r="G628" s="37" t="s">
        <v>19</v>
      </c>
      <c r="H628" s="183">
        <f>9053.57+2851.2+284.52</f>
        <v>12189.29</v>
      </c>
      <c r="I628" s="183">
        <f>9053.57+2851.2+284.52</f>
        <v>12189.29</v>
      </c>
      <c r="J628" s="183">
        <f>9053.57+2851.2+284.52</f>
        <v>12189.29</v>
      </c>
      <c r="K628" s="183">
        <v>12189.29</v>
      </c>
      <c r="L628" s="183">
        <v>12189.29</v>
      </c>
      <c r="M628" s="183">
        <v>12189.29</v>
      </c>
      <c r="N628" s="43">
        <f t="shared" si="249"/>
        <v>0</v>
      </c>
      <c r="O628" s="183">
        <v>11904.77</v>
      </c>
      <c r="P628" s="183">
        <v>11904.77</v>
      </c>
      <c r="Q628" s="183">
        <v>11904.77</v>
      </c>
      <c r="R628" s="472">
        <f t="shared" si="272"/>
        <v>284.52000000000044</v>
      </c>
      <c r="S628" s="472">
        <f t="shared" si="273"/>
        <v>284.52000000000044</v>
      </c>
      <c r="T628" s="472">
        <f t="shared" si="274"/>
        <v>284.52000000000044</v>
      </c>
      <c r="U628" s="23" t="s">
        <v>133</v>
      </c>
      <c r="V628" s="36" t="s">
        <v>34</v>
      </c>
      <c r="W628" s="37" t="s">
        <v>82</v>
      </c>
      <c r="X628" s="37" t="s">
        <v>98</v>
      </c>
      <c r="Y628" s="37" t="s">
        <v>1027</v>
      </c>
      <c r="Z628" s="37" t="s">
        <v>19</v>
      </c>
      <c r="AA628" s="12" t="b">
        <f t="shared" si="276"/>
        <v>1</v>
      </c>
      <c r="AB628" s="12" t="b">
        <f t="shared" si="277"/>
        <v>1</v>
      </c>
      <c r="AC628" s="12" t="b">
        <f t="shared" si="278"/>
        <v>1</v>
      </c>
      <c r="AD628" s="12" t="b">
        <f t="shared" si="279"/>
        <v>1</v>
      </c>
      <c r="AE628" s="12" t="b">
        <f t="shared" si="280"/>
        <v>1</v>
      </c>
      <c r="AF628" s="12" t="b">
        <f t="shared" si="281"/>
        <v>1</v>
      </c>
    </row>
    <row r="629" spans="1:32" s="12" customFormat="1" ht="15.75" customHeight="1">
      <c r="A629" s="285"/>
      <c r="B629" s="182" t="s">
        <v>1165</v>
      </c>
      <c r="C629" s="36" t="s">
        <v>34</v>
      </c>
      <c r="D629" s="37" t="s">
        <v>82</v>
      </c>
      <c r="E629" s="37" t="s">
        <v>98</v>
      </c>
      <c r="F629" s="37" t="s">
        <v>323</v>
      </c>
      <c r="G629" s="37" t="s">
        <v>90</v>
      </c>
      <c r="H629" s="183">
        <f>H630</f>
        <v>678.64999999999986</v>
      </c>
      <c r="I629" s="183">
        <f t="shared" ref="I629:J629" si="282">I630</f>
        <v>678.64999999999986</v>
      </c>
      <c r="J629" s="183">
        <f t="shared" si="282"/>
        <v>678.64999999999986</v>
      </c>
      <c r="K629" s="183">
        <v>678.64999999999986</v>
      </c>
      <c r="L629" s="183">
        <v>678.64999999999986</v>
      </c>
      <c r="M629" s="183">
        <v>678.64999999999986</v>
      </c>
      <c r="N629" s="43">
        <f t="shared" si="249"/>
        <v>0</v>
      </c>
      <c r="O629" s="183">
        <v>678.65</v>
      </c>
      <c r="P629" s="183">
        <v>678.65</v>
      </c>
      <c r="Q629" s="183">
        <v>678.65</v>
      </c>
      <c r="R629" s="472">
        <f t="shared" si="272"/>
        <v>0</v>
      </c>
      <c r="S629" s="472">
        <f t="shared" si="273"/>
        <v>0</v>
      </c>
      <c r="T629" s="472">
        <f t="shared" si="274"/>
        <v>0</v>
      </c>
      <c r="U629" s="182" t="s">
        <v>1165</v>
      </c>
      <c r="V629" s="36" t="s">
        <v>34</v>
      </c>
      <c r="W629" s="37" t="s">
        <v>82</v>
      </c>
      <c r="X629" s="37" t="s">
        <v>98</v>
      </c>
      <c r="Y629" s="37" t="s">
        <v>323</v>
      </c>
      <c r="Z629" s="37" t="s">
        <v>90</v>
      </c>
      <c r="AA629" s="12" t="b">
        <f t="shared" si="276"/>
        <v>1</v>
      </c>
      <c r="AB629" s="12" t="b">
        <f t="shared" si="277"/>
        <v>1</v>
      </c>
      <c r="AC629" s="12" t="b">
        <f t="shared" si="278"/>
        <v>1</v>
      </c>
      <c r="AD629" s="12" t="b">
        <f t="shared" si="279"/>
        <v>1</v>
      </c>
      <c r="AE629" s="12" t="b">
        <f t="shared" si="280"/>
        <v>1</v>
      </c>
      <c r="AF629" s="12" t="b">
        <f t="shared" si="281"/>
        <v>1</v>
      </c>
    </row>
    <row r="630" spans="1:32" s="12" customFormat="1" ht="15.75" customHeight="1">
      <c r="A630" s="285"/>
      <c r="B630" s="182" t="s">
        <v>1214</v>
      </c>
      <c r="C630" s="36" t="s">
        <v>34</v>
      </c>
      <c r="D630" s="37" t="s">
        <v>82</v>
      </c>
      <c r="E630" s="37" t="s">
        <v>98</v>
      </c>
      <c r="F630" s="37" t="s">
        <v>324</v>
      </c>
      <c r="G630" s="37" t="s">
        <v>90</v>
      </c>
      <c r="H630" s="183">
        <f t="shared" ref="H630:J631" si="283">H631</f>
        <v>678.64999999999986</v>
      </c>
      <c r="I630" s="183">
        <f t="shared" si="283"/>
        <v>678.64999999999986</v>
      </c>
      <c r="J630" s="183">
        <f t="shared" si="283"/>
        <v>678.64999999999986</v>
      </c>
      <c r="K630" s="183">
        <v>678.64999999999986</v>
      </c>
      <c r="L630" s="183">
        <v>678.64999999999986</v>
      </c>
      <c r="M630" s="183">
        <v>678.64999999999986</v>
      </c>
      <c r="N630" s="43">
        <f t="shared" si="249"/>
        <v>0</v>
      </c>
      <c r="O630" s="183">
        <v>678.65</v>
      </c>
      <c r="P630" s="183">
        <v>678.65</v>
      </c>
      <c r="Q630" s="183">
        <v>678.65</v>
      </c>
      <c r="R630" s="472">
        <f t="shared" si="272"/>
        <v>0</v>
      </c>
      <c r="S630" s="472">
        <f t="shared" si="273"/>
        <v>0</v>
      </c>
      <c r="T630" s="472">
        <f t="shared" si="274"/>
        <v>0</v>
      </c>
      <c r="U630" s="495" t="s">
        <v>1214</v>
      </c>
      <c r="V630" s="36" t="s">
        <v>34</v>
      </c>
      <c r="W630" s="37" t="s">
        <v>82</v>
      </c>
      <c r="X630" s="37" t="s">
        <v>98</v>
      </c>
      <c r="Y630" s="37" t="s">
        <v>324</v>
      </c>
      <c r="Z630" s="37" t="s">
        <v>90</v>
      </c>
      <c r="AA630" s="12" t="b">
        <f t="shared" si="276"/>
        <v>1</v>
      </c>
      <c r="AB630" s="12" t="b">
        <f t="shared" si="277"/>
        <v>1</v>
      </c>
      <c r="AC630" s="12" t="b">
        <f t="shared" si="278"/>
        <v>1</v>
      </c>
      <c r="AD630" s="12" t="b">
        <f t="shared" si="279"/>
        <v>1</v>
      </c>
      <c r="AE630" s="12" t="b">
        <f t="shared" si="280"/>
        <v>1</v>
      </c>
      <c r="AF630" s="12" t="b">
        <f t="shared" si="281"/>
        <v>1</v>
      </c>
    </row>
    <row r="631" spans="1:32" s="12" customFormat="1" ht="15.75" customHeight="1">
      <c r="A631" s="285"/>
      <c r="B631" s="182" t="s">
        <v>573</v>
      </c>
      <c r="C631" s="36" t="s">
        <v>34</v>
      </c>
      <c r="D631" s="37" t="s">
        <v>82</v>
      </c>
      <c r="E631" s="37" t="s">
        <v>98</v>
      </c>
      <c r="F631" s="37" t="s">
        <v>526</v>
      </c>
      <c r="G631" s="37" t="s">
        <v>90</v>
      </c>
      <c r="H631" s="183">
        <f t="shared" si="283"/>
        <v>678.64999999999986</v>
      </c>
      <c r="I631" s="183">
        <f t="shared" si="283"/>
        <v>678.64999999999986</v>
      </c>
      <c r="J631" s="183">
        <f t="shared" si="283"/>
        <v>678.64999999999986</v>
      </c>
      <c r="K631" s="183">
        <v>678.64999999999986</v>
      </c>
      <c r="L631" s="183">
        <v>678.64999999999986</v>
      </c>
      <c r="M631" s="183">
        <v>678.64999999999986</v>
      </c>
      <c r="N631" s="43">
        <f t="shared" si="249"/>
        <v>0</v>
      </c>
      <c r="O631" s="183">
        <v>678.65</v>
      </c>
      <c r="P631" s="183">
        <v>678.65</v>
      </c>
      <c r="Q631" s="183">
        <v>678.65</v>
      </c>
      <c r="R631" s="472">
        <f t="shared" si="272"/>
        <v>0</v>
      </c>
      <c r="S631" s="472">
        <f t="shared" si="273"/>
        <v>0</v>
      </c>
      <c r="T631" s="472">
        <f t="shared" si="274"/>
        <v>0</v>
      </c>
      <c r="U631" s="182" t="s">
        <v>573</v>
      </c>
      <c r="V631" s="36" t="s">
        <v>34</v>
      </c>
      <c r="W631" s="37" t="s">
        <v>82</v>
      </c>
      <c r="X631" s="37" t="s">
        <v>98</v>
      </c>
      <c r="Y631" s="37" t="s">
        <v>526</v>
      </c>
      <c r="Z631" s="37" t="s">
        <v>90</v>
      </c>
      <c r="AA631" s="12" t="b">
        <f t="shared" si="276"/>
        <v>1</v>
      </c>
      <c r="AB631" s="12" t="b">
        <f t="shared" si="277"/>
        <v>1</v>
      </c>
      <c r="AC631" s="12" t="b">
        <f t="shared" si="278"/>
        <v>1</v>
      </c>
      <c r="AD631" s="12" t="b">
        <f t="shared" si="279"/>
        <v>1</v>
      </c>
      <c r="AE631" s="12" t="b">
        <f t="shared" si="280"/>
        <v>1</v>
      </c>
      <c r="AF631" s="12" t="b">
        <f t="shared" si="281"/>
        <v>1</v>
      </c>
    </row>
    <row r="632" spans="1:32" s="12" customFormat="1" ht="15.75" customHeight="1">
      <c r="A632" s="285"/>
      <c r="B632" s="182" t="s">
        <v>202</v>
      </c>
      <c r="C632" s="36" t="s">
        <v>34</v>
      </c>
      <c r="D632" s="37" t="s">
        <v>82</v>
      </c>
      <c r="E632" s="37" t="s">
        <v>98</v>
      </c>
      <c r="F632" s="37" t="s">
        <v>527</v>
      </c>
      <c r="G632" s="37" t="s">
        <v>90</v>
      </c>
      <c r="H632" s="183">
        <f>H633+H634</f>
        <v>678.64999999999986</v>
      </c>
      <c r="I632" s="183">
        <f t="shared" ref="I632:J632" si="284">I633+I634</f>
        <v>678.64999999999986</v>
      </c>
      <c r="J632" s="183">
        <f t="shared" si="284"/>
        <v>678.64999999999986</v>
      </c>
      <c r="K632" s="183">
        <v>678.64999999999986</v>
      </c>
      <c r="L632" s="183">
        <v>678.64999999999986</v>
      </c>
      <c r="M632" s="183">
        <v>678.64999999999986</v>
      </c>
      <c r="N632" s="43">
        <f t="shared" si="249"/>
        <v>0</v>
      </c>
      <c r="O632" s="183">
        <v>678.65</v>
      </c>
      <c r="P632" s="183">
        <v>678.65</v>
      </c>
      <c r="Q632" s="183">
        <v>678.65</v>
      </c>
      <c r="R632" s="472">
        <f t="shared" si="272"/>
        <v>0</v>
      </c>
      <c r="S632" s="472">
        <f t="shared" si="273"/>
        <v>0</v>
      </c>
      <c r="T632" s="472">
        <f t="shared" si="274"/>
        <v>0</v>
      </c>
      <c r="U632" s="182" t="s">
        <v>202</v>
      </c>
      <c r="V632" s="36" t="s">
        <v>34</v>
      </c>
      <c r="W632" s="37" t="s">
        <v>82</v>
      </c>
      <c r="X632" s="37" t="s">
        <v>98</v>
      </c>
      <c r="Y632" s="37" t="s">
        <v>527</v>
      </c>
      <c r="Z632" s="37" t="s">
        <v>90</v>
      </c>
      <c r="AA632" s="12" t="b">
        <f t="shared" si="276"/>
        <v>1</v>
      </c>
      <c r="AB632" s="12" t="b">
        <f t="shared" si="277"/>
        <v>1</v>
      </c>
      <c r="AC632" s="12" t="b">
        <f t="shared" si="278"/>
        <v>1</v>
      </c>
      <c r="AD632" s="12" t="b">
        <f t="shared" si="279"/>
        <v>1</v>
      </c>
      <c r="AE632" s="12" t="b">
        <f t="shared" si="280"/>
        <v>1</v>
      </c>
      <c r="AF632" s="12" t="b">
        <f t="shared" si="281"/>
        <v>1</v>
      </c>
    </row>
    <row r="633" spans="1:32" s="12" customFormat="1" ht="15.75" customHeight="1">
      <c r="A633" s="285"/>
      <c r="B633" s="65" t="s">
        <v>132</v>
      </c>
      <c r="C633" s="56" t="s">
        <v>34</v>
      </c>
      <c r="D633" s="57" t="s">
        <v>82</v>
      </c>
      <c r="E633" s="57" t="s">
        <v>98</v>
      </c>
      <c r="F633" s="57" t="s">
        <v>527</v>
      </c>
      <c r="G633" s="57" t="s">
        <v>171</v>
      </c>
      <c r="H633" s="58">
        <f>660.65+18-135.05</f>
        <v>543.59999999999991</v>
      </c>
      <c r="I633" s="58">
        <f>660.65+18-135.05</f>
        <v>543.59999999999991</v>
      </c>
      <c r="J633" s="58">
        <f>660.65+18-135.05</f>
        <v>543.59999999999991</v>
      </c>
      <c r="K633" s="58">
        <v>543.59999999999991</v>
      </c>
      <c r="L633" s="58">
        <v>543.59999999999991</v>
      </c>
      <c r="M633" s="58">
        <v>543.59999999999991</v>
      </c>
      <c r="N633" s="43">
        <f t="shared" si="249"/>
        <v>0</v>
      </c>
      <c r="O633" s="58">
        <v>678.65</v>
      </c>
      <c r="P633" s="58">
        <v>678.65</v>
      </c>
      <c r="Q633" s="58">
        <v>678.65</v>
      </c>
      <c r="R633" s="472">
        <f t="shared" si="272"/>
        <v>-135.05000000000007</v>
      </c>
      <c r="S633" s="472">
        <f t="shared" si="273"/>
        <v>-135.05000000000007</v>
      </c>
      <c r="T633" s="472">
        <f t="shared" si="274"/>
        <v>-135.05000000000007</v>
      </c>
      <c r="U633" s="65" t="s">
        <v>132</v>
      </c>
      <c r="V633" s="56" t="s">
        <v>34</v>
      </c>
      <c r="W633" s="57" t="s">
        <v>82</v>
      </c>
      <c r="X633" s="57" t="s">
        <v>98</v>
      </c>
      <c r="Y633" s="57" t="s">
        <v>527</v>
      </c>
      <c r="Z633" s="57" t="s">
        <v>171</v>
      </c>
      <c r="AA633" s="12" t="b">
        <f t="shared" si="276"/>
        <v>1</v>
      </c>
      <c r="AB633" s="12" t="b">
        <f t="shared" si="277"/>
        <v>1</v>
      </c>
      <c r="AC633" s="12" t="b">
        <f t="shared" si="278"/>
        <v>1</v>
      </c>
      <c r="AD633" s="12" t="b">
        <f t="shared" si="279"/>
        <v>1</v>
      </c>
      <c r="AE633" s="12" t="b">
        <f t="shared" si="280"/>
        <v>1</v>
      </c>
      <c r="AF633" s="12" t="b">
        <f t="shared" si="281"/>
        <v>1</v>
      </c>
    </row>
    <row r="634" spans="1:32" s="12" customFormat="1" ht="15.75" customHeight="1">
      <c r="A634" s="285"/>
      <c r="B634" s="23" t="s">
        <v>133</v>
      </c>
      <c r="C634" s="36" t="s">
        <v>34</v>
      </c>
      <c r="D634" s="37" t="s">
        <v>82</v>
      </c>
      <c r="E634" s="37" t="s">
        <v>98</v>
      </c>
      <c r="F634" s="36" t="s">
        <v>527</v>
      </c>
      <c r="G634" s="36" t="s">
        <v>19</v>
      </c>
      <c r="H634" s="183">
        <v>135.05000000000001</v>
      </c>
      <c r="I634" s="183">
        <v>135.05000000000001</v>
      </c>
      <c r="J634" s="183">
        <v>135.05000000000001</v>
      </c>
      <c r="K634" s="518">
        <v>135.05000000000001</v>
      </c>
      <c r="L634" s="518">
        <v>135.05000000000001</v>
      </c>
      <c r="M634" s="518">
        <v>135.05000000000001</v>
      </c>
      <c r="N634" s="43">
        <f t="shared" si="249"/>
        <v>0</v>
      </c>
      <c r="O634" s="58"/>
      <c r="P634" s="58"/>
      <c r="Q634" s="58"/>
      <c r="R634" s="472">
        <f t="shared" ref="R634" si="285">H634-O634</f>
        <v>135.05000000000001</v>
      </c>
      <c r="S634" s="472">
        <f t="shared" ref="S634" si="286">I634-P634</f>
        <v>135.05000000000001</v>
      </c>
      <c r="T634" s="472">
        <f t="shared" ref="T634" si="287">J634-Q634</f>
        <v>135.05000000000001</v>
      </c>
      <c r="U634" s="65"/>
      <c r="V634" s="56"/>
      <c r="W634" s="57"/>
      <c r="X634" s="57"/>
      <c r="Y634" s="57"/>
      <c r="Z634" s="57"/>
    </row>
    <row r="635" spans="1:32" s="12" customFormat="1" ht="15.75" customHeight="1">
      <c r="A635" s="285"/>
      <c r="B635" s="182" t="s">
        <v>671</v>
      </c>
      <c r="C635" s="36" t="s">
        <v>34</v>
      </c>
      <c r="D635" s="37" t="s">
        <v>82</v>
      </c>
      <c r="E635" s="37" t="s">
        <v>98</v>
      </c>
      <c r="F635" s="37" t="s">
        <v>326</v>
      </c>
      <c r="G635" s="37" t="s">
        <v>90</v>
      </c>
      <c r="H635" s="183">
        <f t="shared" ref="H635:J638" si="288">H636</f>
        <v>896.08</v>
      </c>
      <c r="I635" s="183">
        <f t="shared" si="288"/>
        <v>896.08</v>
      </c>
      <c r="J635" s="183">
        <f t="shared" si="288"/>
        <v>896.08</v>
      </c>
      <c r="K635" s="183">
        <v>896.08</v>
      </c>
      <c r="L635" s="183">
        <v>896.08</v>
      </c>
      <c r="M635" s="183">
        <v>896.08</v>
      </c>
      <c r="N635" s="43">
        <f t="shared" si="249"/>
        <v>0</v>
      </c>
      <c r="O635" s="183">
        <v>896.08</v>
      </c>
      <c r="P635" s="183">
        <v>896.08</v>
      </c>
      <c r="Q635" s="183">
        <v>896.08</v>
      </c>
      <c r="R635" s="472">
        <f t="shared" si="272"/>
        <v>0</v>
      </c>
      <c r="S635" s="472">
        <f t="shared" si="273"/>
        <v>0</v>
      </c>
      <c r="T635" s="472">
        <f t="shared" si="274"/>
        <v>0</v>
      </c>
      <c r="U635" s="182" t="s">
        <v>671</v>
      </c>
      <c r="V635" s="36" t="s">
        <v>34</v>
      </c>
      <c r="W635" s="37" t="s">
        <v>82</v>
      </c>
      <c r="X635" s="37" t="s">
        <v>98</v>
      </c>
      <c r="Y635" s="37" t="s">
        <v>326</v>
      </c>
      <c r="Z635" s="37" t="s">
        <v>90</v>
      </c>
      <c r="AA635" s="12" t="b">
        <f t="shared" si="276"/>
        <v>1</v>
      </c>
      <c r="AB635" s="12" t="b">
        <f t="shared" si="277"/>
        <v>1</v>
      </c>
      <c r="AC635" s="12" t="b">
        <f t="shared" si="278"/>
        <v>1</v>
      </c>
      <c r="AD635" s="12" t="b">
        <f t="shared" si="279"/>
        <v>1</v>
      </c>
      <c r="AE635" s="12" t="b">
        <f t="shared" si="280"/>
        <v>1</v>
      </c>
      <c r="AF635" s="12" t="b">
        <f t="shared" si="281"/>
        <v>1</v>
      </c>
    </row>
    <row r="636" spans="1:32" s="12" customFormat="1" ht="15.75" customHeight="1">
      <c r="A636" s="285"/>
      <c r="B636" s="182" t="s">
        <v>672</v>
      </c>
      <c r="C636" s="36" t="s">
        <v>34</v>
      </c>
      <c r="D636" s="37" t="s">
        <v>82</v>
      </c>
      <c r="E636" s="37" t="s">
        <v>98</v>
      </c>
      <c r="F636" s="37" t="s">
        <v>327</v>
      </c>
      <c r="G636" s="37" t="s">
        <v>90</v>
      </c>
      <c r="H636" s="183">
        <f t="shared" si="288"/>
        <v>896.08</v>
      </c>
      <c r="I636" s="183">
        <f t="shared" si="288"/>
        <v>896.08</v>
      </c>
      <c r="J636" s="183">
        <f t="shared" si="288"/>
        <v>896.08</v>
      </c>
      <c r="K636" s="183">
        <v>896.08</v>
      </c>
      <c r="L636" s="183">
        <v>896.08</v>
      </c>
      <c r="M636" s="183">
        <v>896.08</v>
      </c>
      <c r="N636" s="43">
        <f t="shared" ref="N636:N699" si="289">K636-H636</f>
        <v>0</v>
      </c>
      <c r="O636" s="183">
        <v>896.08</v>
      </c>
      <c r="P636" s="183">
        <v>896.08</v>
      </c>
      <c r="Q636" s="183">
        <v>896.08</v>
      </c>
      <c r="R636" s="472">
        <f t="shared" si="272"/>
        <v>0</v>
      </c>
      <c r="S636" s="472">
        <f t="shared" si="273"/>
        <v>0</v>
      </c>
      <c r="T636" s="472">
        <f t="shared" si="274"/>
        <v>0</v>
      </c>
      <c r="U636" s="182" t="s">
        <v>672</v>
      </c>
      <c r="V636" s="36" t="s">
        <v>34</v>
      </c>
      <c r="W636" s="37" t="s">
        <v>82</v>
      </c>
      <c r="X636" s="37" t="s">
        <v>98</v>
      </c>
      <c r="Y636" s="37" t="s">
        <v>327</v>
      </c>
      <c r="Z636" s="37" t="s">
        <v>90</v>
      </c>
      <c r="AA636" s="12" t="b">
        <f t="shared" si="276"/>
        <v>1</v>
      </c>
      <c r="AB636" s="12" t="b">
        <f t="shared" si="277"/>
        <v>1</v>
      </c>
      <c r="AC636" s="12" t="b">
        <f t="shared" si="278"/>
        <v>1</v>
      </c>
      <c r="AD636" s="12" t="b">
        <f t="shared" si="279"/>
        <v>1</v>
      </c>
      <c r="AE636" s="12" t="b">
        <f t="shared" si="280"/>
        <v>1</v>
      </c>
      <c r="AF636" s="12" t="b">
        <f t="shared" si="281"/>
        <v>1</v>
      </c>
    </row>
    <row r="637" spans="1:32" s="12" customFormat="1" ht="15.75" customHeight="1">
      <c r="A637" s="285"/>
      <c r="B637" s="182" t="s">
        <v>328</v>
      </c>
      <c r="C637" s="36" t="s">
        <v>34</v>
      </c>
      <c r="D637" s="37" t="s">
        <v>82</v>
      </c>
      <c r="E637" s="37" t="s">
        <v>98</v>
      </c>
      <c r="F637" s="37" t="s">
        <v>329</v>
      </c>
      <c r="G637" s="37" t="s">
        <v>90</v>
      </c>
      <c r="H637" s="183">
        <f t="shared" si="288"/>
        <v>896.08</v>
      </c>
      <c r="I637" s="183">
        <f t="shared" si="288"/>
        <v>896.08</v>
      </c>
      <c r="J637" s="183">
        <f t="shared" si="288"/>
        <v>896.08</v>
      </c>
      <c r="K637" s="183">
        <v>896.08</v>
      </c>
      <c r="L637" s="183">
        <v>896.08</v>
      </c>
      <c r="M637" s="183">
        <v>896.08</v>
      </c>
      <c r="N637" s="43">
        <f t="shared" si="289"/>
        <v>0</v>
      </c>
      <c r="O637" s="183">
        <v>896.08</v>
      </c>
      <c r="P637" s="183">
        <v>896.08</v>
      </c>
      <c r="Q637" s="183">
        <v>896.08</v>
      </c>
      <c r="R637" s="472">
        <f t="shared" si="272"/>
        <v>0</v>
      </c>
      <c r="S637" s="472">
        <f t="shared" si="273"/>
        <v>0</v>
      </c>
      <c r="T637" s="472">
        <f t="shared" si="274"/>
        <v>0</v>
      </c>
      <c r="U637" s="182" t="s">
        <v>328</v>
      </c>
      <c r="V637" s="36" t="s">
        <v>34</v>
      </c>
      <c r="W637" s="37" t="s">
        <v>82</v>
      </c>
      <c r="X637" s="37" t="s">
        <v>98</v>
      </c>
      <c r="Y637" s="37" t="s">
        <v>329</v>
      </c>
      <c r="Z637" s="37" t="s">
        <v>90</v>
      </c>
      <c r="AA637" s="12" t="b">
        <f t="shared" si="276"/>
        <v>1</v>
      </c>
      <c r="AB637" s="12" t="b">
        <f t="shared" si="277"/>
        <v>1</v>
      </c>
      <c r="AC637" s="12" t="b">
        <f t="shared" si="278"/>
        <v>1</v>
      </c>
      <c r="AD637" s="12" t="b">
        <f t="shared" si="279"/>
        <v>1</v>
      </c>
      <c r="AE637" s="12" t="b">
        <f t="shared" si="280"/>
        <v>1</v>
      </c>
      <c r="AF637" s="12" t="b">
        <f t="shared" si="281"/>
        <v>1</v>
      </c>
    </row>
    <row r="638" spans="1:32" s="12" customFormat="1" ht="15.75" customHeight="1">
      <c r="A638" s="285"/>
      <c r="B638" s="23" t="s">
        <v>811</v>
      </c>
      <c r="C638" s="36" t="s">
        <v>34</v>
      </c>
      <c r="D638" s="37" t="s">
        <v>82</v>
      </c>
      <c r="E638" s="37" t="s">
        <v>98</v>
      </c>
      <c r="F638" s="37" t="s">
        <v>330</v>
      </c>
      <c r="G638" s="37" t="s">
        <v>90</v>
      </c>
      <c r="H638" s="183">
        <f t="shared" si="288"/>
        <v>896.08</v>
      </c>
      <c r="I638" s="183">
        <f t="shared" si="288"/>
        <v>896.08</v>
      </c>
      <c r="J638" s="183">
        <f t="shared" si="288"/>
        <v>896.08</v>
      </c>
      <c r="K638" s="183">
        <v>896.08</v>
      </c>
      <c r="L638" s="183">
        <v>896.08</v>
      </c>
      <c r="M638" s="183">
        <v>896.08</v>
      </c>
      <c r="N638" s="43">
        <f t="shared" si="289"/>
        <v>0</v>
      </c>
      <c r="O638" s="183">
        <v>896.08</v>
      </c>
      <c r="P638" s="183">
        <v>896.08</v>
      </c>
      <c r="Q638" s="183">
        <v>896.08</v>
      </c>
      <c r="R638" s="472">
        <f t="shared" si="272"/>
        <v>0</v>
      </c>
      <c r="S638" s="472">
        <f t="shared" si="273"/>
        <v>0</v>
      </c>
      <c r="T638" s="472">
        <f t="shared" si="274"/>
        <v>0</v>
      </c>
      <c r="U638" s="23" t="s">
        <v>811</v>
      </c>
      <c r="V638" s="36" t="s">
        <v>34</v>
      </c>
      <c r="W638" s="37" t="s">
        <v>82</v>
      </c>
      <c r="X638" s="37" t="s">
        <v>98</v>
      </c>
      <c r="Y638" s="37" t="s">
        <v>330</v>
      </c>
      <c r="Z638" s="37" t="s">
        <v>90</v>
      </c>
      <c r="AA638" s="12" t="b">
        <f t="shared" si="276"/>
        <v>1</v>
      </c>
      <c r="AB638" s="12" t="b">
        <f t="shared" si="277"/>
        <v>1</v>
      </c>
      <c r="AC638" s="12" t="b">
        <f t="shared" si="278"/>
        <v>1</v>
      </c>
      <c r="AD638" s="12" t="b">
        <f t="shared" si="279"/>
        <v>1</v>
      </c>
      <c r="AE638" s="12" t="b">
        <f t="shared" si="280"/>
        <v>1</v>
      </c>
      <c r="AF638" s="12" t="b">
        <f t="shared" si="281"/>
        <v>1</v>
      </c>
    </row>
    <row r="639" spans="1:32" s="12" customFormat="1" ht="15.75" customHeight="1">
      <c r="A639" s="285"/>
      <c r="B639" s="182" t="s">
        <v>132</v>
      </c>
      <c r="C639" s="36" t="s">
        <v>34</v>
      </c>
      <c r="D639" s="37" t="s">
        <v>82</v>
      </c>
      <c r="E639" s="37" t="s">
        <v>98</v>
      </c>
      <c r="F639" s="37" t="s">
        <v>330</v>
      </c>
      <c r="G639" s="37" t="s">
        <v>171</v>
      </c>
      <c r="H639" s="183">
        <v>896.08</v>
      </c>
      <c r="I639" s="183">
        <v>896.08</v>
      </c>
      <c r="J639" s="183">
        <v>896.08</v>
      </c>
      <c r="K639" s="183">
        <v>896.08</v>
      </c>
      <c r="L639" s="183">
        <v>896.08</v>
      </c>
      <c r="M639" s="183">
        <v>896.08</v>
      </c>
      <c r="N639" s="43">
        <f t="shared" si="289"/>
        <v>0</v>
      </c>
      <c r="O639" s="183">
        <v>896.08</v>
      </c>
      <c r="P639" s="183">
        <v>896.08</v>
      </c>
      <c r="Q639" s="183">
        <v>896.08</v>
      </c>
      <c r="R639" s="472">
        <f t="shared" si="272"/>
        <v>0</v>
      </c>
      <c r="S639" s="472">
        <f t="shared" si="273"/>
        <v>0</v>
      </c>
      <c r="T639" s="472">
        <f t="shared" si="274"/>
        <v>0</v>
      </c>
      <c r="U639" s="182" t="s">
        <v>132</v>
      </c>
      <c r="V639" s="36" t="s">
        <v>34</v>
      </c>
      <c r="W639" s="37" t="s">
        <v>82</v>
      </c>
      <c r="X639" s="37" t="s">
        <v>98</v>
      </c>
      <c r="Y639" s="37" t="s">
        <v>330</v>
      </c>
      <c r="Z639" s="37" t="s">
        <v>171</v>
      </c>
      <c r="AA639" s="12" t="b">
        <f t="shared" si="276"/>
        <v>1</v>
      </c>
      <c r="AB639" s="12" t="b">
        <f t="shared" si="277"/>
        <v>1</v>
      </c>
      <c r="AC639" s="12" t="b">
        <f t="shared" si="278"/>
        <v>1</v>
      </c>
      <c r="AD639" s="12" t="b">
        <f t="shared" si="279"/>
        <v>1</v>
      </c>
      <c r="AE639" s="12" t="b">
        <f t="shared" si="280"/>
        <v>1</v>
      </c>
      <c r="AF639" s="12" t="b">
        <f t="shared" si="281"/>
        <v>1</v>
      </c>
    </row>
    <row r="640" spans="1:32" s="12" customFormat="1" ht="15.75" customHeight="1">
      <c r="A640" s="285"/>
      <c r="B640" s="32" t="s">
        <v>585</v>
      </c>
      <c r="C640" s="33" t="s">
        <v>34</v>
      </c>
      <c r="D640" s="34" t="s">
        <v>82</v>
      </c>
      <c r="E640" s="34" t="s">
        <v>69</v>
      </c>
      <c r="F640" s="34" t="s">
        <v>223</v>
      </c>
      <c r="G640" s="34" t="s">
        <v>90</v>
      </c>
      <c r="H640" s="35">
        <f>H641</f>
        <v>20334.009999999998</v>
      </c>
      <c r="I640" s="35">
        <f>I641</f>
        <v>20345.699999999997</v>
      </c>
      <c r="J640" s="35">
        <f>J641</f>
        <v>20357.859999999997</v>
      </c>
      <c r="K640" s="35">
        <v>20334.009999999998</v>
      </c>
      <c r="L640" s="35">
        <v>20345.699999999997</v>
      </c>
      <c r="M640" s="35">
        <v>20357.859999999997</v>
      </c>
      <c r="N640" s="43">
        <f t="shared" si="289"/>
        <v>0</v>
      </c>
      <c r="O640" s="35">
        <v>20334.009999999998</v>
      </c>
      <c r="P640" s="35">
        <v>20345.699999999997</v>
      </c>
      <c r="Q640" s="35">
        <v>20357.859999999997</v>
      </c>
      <c r="R640" s="472">
        <f t="shared" si="272"/>
        <v>0</v>
      </c>
      <c r="S640" s="472">
        <f t="shared" si="273"/>
        <v>0</v>
      </c>
      <c r="T640" s="472">
        <f t="shared" si="274"/>
        <v>0</v>
      </c>
      <c r="U640" s="32" t="s">
        <v>585</v>
      </c>
      <c r="V640" s="33" t="s">
        <v>34</v>
      </c>
      <c r="W640" s="34" t="s">
        <v>82</v>
      </c>
      <c r="X640" s="34" t="s">
        <v>69</v>
      </c>
      <c r="Y640" s="34" t="s">
        <v>223</v>
      </c>
      <c r="Z640" s="34" t="s">
        <v>90</v>
      </c>
      <c r="AA640" s="12" t="b">
        <f t="shared" si="276"/>
        <v>1</v>
      </c>
      <c r="AB640" s="12" t="b">
        <f t="shared" si="277"/>
        <v>1</v>
      </c>
      <c r="AC640" s="12" t="b">
        <f t="shared" si="278"/>
        <v>1</v>
      </c>
      <c r="AD640" s="12" t="b">
        <f t="shared" si="279"/>
        <v>1</v>
      </c>
      <c r="AE640" s="12" t="b">
        <f t="shared" si="280"/>
        <v>1</v>
      </c>
      <c r="AF640" s="12" t="b">
        <f t="shared" si="281"/>
        <v>1</v>
      </c>
    </row>
    <row r="641" spans="1:32" s="12" customFormat="1" ht="15.75" customHeight="1">
      <c r="A641" s="285"/>
      <c r="B641" s="182" t="s">
        <v>612</v>
      </c>
      <c r="C641" s="36" t="s">
        <v>34</v>
      </c>
      <c r="D641" s="37" t="s">
        <v>82</v>
      </c>
      <c r="E641" s="37" t="s">
        <v>69</v>
      </c>
      <c r="F641" s="37" t="s">
        <v>345</v>
      </c>
      <c r="G641" s="37" t="s">
        <v>90</v>
      </c>
      <c r="H641" s="183">
        <f>H642+H649</f>
        <v>20334.009999999998</v>
      </c>
      <c r="I641" s="183">
        <f>I642+I649</f>
        <v>20345.699999999997</v>
      </c>
      <c r="J641" s="183">
        <f>J642+J649</f>
        <v>20357.859999999997</v>
      </c>
      <c r="K641" s="183">
        <v>20334.009999999998</v>
      </c>
      <c r="L641" s="183">
        <v>20345.699999999997</v>
      </c>
      <c r="M641" s="183">
        <v>20357.859999999997</v>
      </c>
      <c r="N641" s="43">
        <f t="shared" si="289"/>
        <v>0</v>
      </c>
      <c r="O641" s="183">
        <v>20334.009999999998</v>
      </c>
      <c r="P641" s="183">
        <v>20345.699999999997</v>
      </c>
      <c r="Q641" s="183">
        <v>20357.859999999997</v>
      </c>
      <c r="R641" s="472">
        <f t="shared" si="272"/>
        <v>0</v>
      </c>
      <c r="S641" s="472">
        <f t="shared" si="273"/>
        <v>0</v>
      </c>
      <c r="T641" s="472">
        <f t="shared" si="274"/>
        <v>0</v>
      </c>
      <c r="U641" s="182" t="s">
        <v>612</v>
      </c>
      <c r="V641" s="36" t="s">
        <v>34</v>
      </c>
      <c r="W641" s="37" t="s">
        <v>82</v>
      </c>
      <c r="X641" s="37" t="s">
        <v>69</v>
      </c>
      <c r="Y641" s="37" t="s">
        <v>345</v>
      </c>
      <c r="Z641" s="37" t="s">
        <v>90</v>
      </c>
      <c r="AA641" s="12" t="b">
        <f t="shared" si="276"/>
        <v>1</v>
      </c>
      <c r="AB641" s="12" t="b">
        <f t="shared" si="277"/>
        <v>1</v>
      </c>
      <c r="AC641" s="12" t="b">
        <f t="shared" si="278"/>
        <v>1</v>
      </c>
      <c r="AD641" s="12" t="b">
        <f t="shared" si="279"/>
        <v>1</v>
      </c>
      <c r="AE641" s="12" t="b">
        <f t="shared" si="280"/>
        <v>1</v>
      </c>
      <c r="AF641" s="12" t="b">
        <f t="shared" si="281"/>
        <v>1</v>
      </c>
    </row>
    <row r="642" spans="1:32" s="12" customFormat="1" ht="15.75" customHeight="1">
      <c r="A642" s="285"/>
      <c r="B642" s="182" t="s">
        <v>613</v>
      </c>
      <c r="C642" s="36" t="s">
        <v>34</v>
      </c>
      <c r="D642" s="37" t="s">
        <v>82</v>
      </c>
      <c r="E642" s="37" t="s">
        <v>69</v>
      </c>
      <c r="F642" s="37" t="s">
        <v>362</v>
      </c>
      <c r="G642" s="37" t="s">
        <v>90</v>
      </c>
      <c r="H642" s="183">
        <f>H643+H647</f>
        <v>19629.64</v>
      </c>
      <c r="I642" s="183">
        <f t="shared" ref="I642:J642" si="290">I643+I647</f>
        <v>19641.329999999998</v>
      </c>
      <c r="J642" s="183">
        <f t="shared" si="290"/>
        <v>19653.489999999998</v>
      </c>
      <c r="K642" s="183">
        <v>19629.64</v>
      </c>
      <c r="L642" s="183">
        <v>19641.329999999998</v>
      </c>
      <c r="M642" s="183">
        <v>19653.489999999998</v>
      </c>
      <c r="N642" s="43">
        <f t="shared" si="289"/>
        <v>0</v>
      </c>
      <c r="O642" s="183">
        <v>19629.64</v>
      </c>
      <c r="P642" s="183">
        <v>19641.329999999998</v>
      </c>
      <c r="Q642" s="183">
        <v>19653.489999999998</v>
      </c>
      <c r="R642" s="472">
        <f t="shared" si="272"/>
        <v>0</v>
      </c>
      <c r="S642" s="472">
        <f t="shared" si="273"/>
        <v>0</v>
      </c>
      <c r="T642" s="472">
        <f t="shared" si="274"/>
        <v>0</v>
      </c>
      <c r="U642" s="182" t="s">
        <v>613</v>
      </c>
      <c r="V642" s="36" t="s">
        <v>34</v>
      </c>
      <c r="W642" s="37" t="s">
        <v>82</v>
      </c>
      <c r="X642" s="37" t="s">
        <v>69</v>
      </c>
      <c r="Y642" s="37" t="s">
        <v>362</v>
      </c>
      <c r="Z642" s="37" t="s">
        <v>90</v>
      </c>
      <c r="AA642" s="12" t="b">
        <f t="shared" si="276"/>
        <v>1</v>
      </c>
      <c r="AB642" s="12" t="b">
        <f t="shared" si="277"/>
        <v>1</v>
      </c>
      <c r="AC642" s="12" t="b">
        <f t="shared" si="278"/>
        <v>1</v>
      </c>
      <c r="AD642" s="12" t="b">
        <f t="shared" si="279"/>
        <v>1</v>
      </c>
      <c r="AE642" s="12" t="b">
        <f t="shared" si="280"/>
        <v>1</v>
      </c>
      <c r="AF642" s="12" t="b">
        <f t="shared" si="281"/>
        <v>1</v>
      </c>
    </row>
    <row r="643" spans="1:32" s="12" customFormat="1" ht="15.75" customHeight="1">
      <c r="A643" s="285"/>
      <c r="B643" s="182" t="s">
        <v>151</v>
      </c>
      <c r="C643" s="36" t="s">
        <v>34</v>
      </c>
      <c r="D643" s="37" t="s">
        <v>82</v>
      </c>
      <c r="E643" s="37" t="s">
        <v>69</v>
      </c>
      <c r="F643" s="37" t="s">
        <v>363</v>
      </c>
      <c r="G643" s="37" t="s">
        <v>90</v>
      </c>
      <c r="H643" s="183">
        <f>SUM(H644:H646)</f>
        <v>1733.61</v>
      </c>
      <c r="I643" s="183">
        <f>SUM(I644:I646)</f>
        <v>1745.3</v>
      </c>
      <c r="J643" s="183">
        <f>SUM(J644:J646)</f>
        <v>1757.46</v>
      </c>
      <c r="K643" s="183">
        <v>1733.61</v>
      </c>
      <c r="L643" s="183">
        <v>1745.3</v>
      </c>
      <c r="M643" s="183">
        <v>1757.46</v>
      </c>
      <c r="N643" s="43">
        <f t="shared" si="289"/>
        <v>0</v>
      </c>
      <c r="O643" s="183">
        <v>1733.61</v>
      </c>
      <c r="P643" s="183">
        <v>1745.3</v>
      </c>
      <c r="Q643" s="183">
        <v>1757.46</v>
      </c>
      <c r="R643" s="472">
        <f t="shared" si="272"/>
        <v>0</v>
      </c>
      <c r="S643" s="472">
        <f t="shared" si="273"/>
        <v>0</v>
      </c>
      <c r="T643" s="472">
        <f t="shared" si="274"/>
        <v>0</v>
      </c>
      <c r="U643" s="182" t="s">
        <v>151</v>
      </c>
      <c r="V643" s="36" t="s">
        <v>34</v>
      </c>
      <c r="W643" s="37" t="s">
        <v>82</v>
      </c>
      <c r="X643" s="37" t="s">
        <v>69</v>
      </c>
      <c r="Y643" s="37" t="s">
        <v>363</v>
      </c>
      <c r="Z643" s="37" t="s">
        <v>90</v>
      </c>
      <c r="AA643" s="12" t="b">
        <f t="shared" si="276"/>
        <v>1</v>
      </c>
      <c r="AB643" s="12" t="b">
        <f t="shared" si="277"/>
        <v>1</v>
      </c>
      <c r="AC643" s="12" t="b">
        <f t="shared" si="278"/>
        <v>1</v>
      </c>
      <c r="AD643" s="12" t="b">
        <f t="shared" si="279"/>
        <v>1</v>
      </c>
      <c r="AE643" s="12" t="b">
        <f t="shared" si="280"/>
        <v>1</v>
      </c>
      <c r="AF643" s="12" t="b">
        <f t="shared" si="281"/>
        <v>1</v>
      </c>
    </row>
    <row r="644" spans="1:32" s="12" customFormat="1" ht="15.75" customHeight="1">
      <c r="A644" s="285"/>
      <c r="B644" s="182" t="s">
        <v>144</v>
      </c>
      <c r="C644" s="36" t="s">
        <v>34</v>
      </c>
      <c r="D644" s="37" t="s">
        <v>82</v>
      </c>
      <c r="E644" s="37" t="s">
        <v>69</v>
      </c>
      <c r="F644" s="37" t="s">
        <v>363</v>
      </c>
      <c r="G644" s="37" t="s">
        <v>152</v>
      </c>
      <c r="H644" s="183">
        <f>274.45+82.88</f>
        <v>357.33</v>
      </c>
      <c r="I644" s="183">
        <v>357.33</v>
      </c>
      <c r="J644" s="183">
        <v>357.33</v>
      </c>
      <c r="K644" s="183">
        <v>357.33</v>
      </c>
      <c r="L644" s="183">
        <v>357.33</v>
      </c>
      <c r="M644" s="183">
        <v>357.33</v>
      </c>
      <c r="N644" s="43">
        <f t="shared" si="289"/>
        <v>0</v>
      </c>
      <c r="O644" s="183">
        <v>357.33</v>
      </c>
      <c r="P644" s="183">
        <v>357.33</v>
      </c>
      <c r="Q644" s="183">
        <v>357.33</v>
      </c>
      <c r="R644" s="472">
        <f t="shared" si="272"/>
        <v>0</v>
      </c>
      <c r="S644" s="472">
        <f t="shared" si="273"/>
        <v>0</v>
      </c>
      <c r="T644" s="472">
        <f t="shared" si="274"/>
        <v>0</v>
      </c>
      <c r="U644" s="182" t="s">
        <v>144</v>
      </c>
      <c r="V644" s="36" t="s">
        <v>34</v>
      </c>
      <c r="W644" s="37" t="s">
        <v>82</v>
      </c>
      <c r="X644" s="37" t="s">
        <v>69</v>
      </c>
      <c r="Y644" s="37" t="s">
        <v>363</v>
      </c>
      <c r="Z644" s="37" t="s">
        <v>152</v>
      </c>
      <c r="AA644" s="12" t="b">
        <f t="shared" si="276"/>
        <v>1</v>
      </c>
      <c r="AB644" s="12" t="b">
        <f t="shared" si="277"/>
        <v>1</v>
      </c>
      <c r="AC644" s="12" t="b">
        <f t="shared" si="278"/>
        <v>1</v>
      </c>
      <c r="AD644" s="12" t="b">
        <f t="shared" si="279"/>
        <v>1</v>
      </c>
      <c r="AE644" s="12" t="b">
        <f t="shared" si="280"/>
        <v>1</v>
      </c>
      <c r="AF644" s="12" t="b">
        <f t="shared" si="281"/>
        <v>1</v>
      </c>
    </row>
    <row r="645" spans="1:32" s="12" customFormat="1" ht="15.75" customHeight="1">
      <c r="A645" s="285"/>
      <c r="B645" s="182" t="s">
        <v>145</v>
      </c>
      <c r="C645" s="36" t="s">
        <v>34</v>
      </c>
      <c r="D645" s="37" t="s">
        <v>82</v>
      </c>
      <c r="E645" s="37" t="s">
        <v>69</v>
      </c>
      <c r="F645" s="37" t="s">
        <v>363</v>
      </c>
      <c r="G645" s="37" t="s">
        <v>153</v>
      </c>
      <c r="H645" s="183">
        <f>840.72+248.58+117.4</f>
        <v>1206.7</v>
      </c>
      <c r="I645" s="183">
        <f>842.46+258.53+117.4</f>
        <v>1218.3900000000001</v>
      </c>
      <c r="J645" s="183">
        <f>844.27+268.88+117.4</f>
        <v>1230.5500000000002</v>
      </c>
      <c r="K645" s="183">
        <v>1206.7</v>
      </c>
      <c r="L645" s="183">
        <v>1218.3900000000001</v>
      </c>
      <c r="M645" s="183">
        <v>1230.5500000000002</v>
      </c>
      <c r="N645" s="43">
        <f t="shared" si="289"/>
        <v>0</v>
      </c>
      <c r="O645" s="183">
        <v>1206.7</v>
      </c>
      <c r="P645" s="183">
        <v>1218.3900000000001</v>
      </c>
      <c r="Q645" s="183">
        <v>1230.5500000000002</v>
      </c>
      <c r="R645" s="472">
        <f t="shared" si="272"/>
        <v>0</v>
      </c>
      <c r="S645" s="472">
        <f t="shared" si="273"/>
        <v>0</v>
      </c>
      <c r="T645" s="472">
        <f t="shared" si="274"/>
        <v>0</v>
      </c>
      <c r="U645" s="182" t="s">
        <v>145</v>
      </c>
      <c r="V645" s="36" t="s">
        <v>34</v>
      </c>
      <c r="W645" s="37" t="s">
        <v>82</v>
      </c>
      <c r="X645" s="37" t="s">
        <v>69</v>
      </c>
      <c r="Y645" s="37" t="s">
        <v>363</v>
      </c>
      <c r="Z645" s="37" t="s">
        <v>153</v>
      </c>
      <c r="AA645" s="12" t="b">
        <f t="shared" si="276"/>
        <v>1</v>
      </c>
      <c r="AB645" s="12" t="b">
        <f t="shared" si="277"/>
        <v>1</v>
      </c>
      <c r="AC645" s="12" t="b">
        <f t="shared" si="278"/>
        <v>1</v>
      </c>
      <c r="AD645" s="12" t="b">
        <f t="shared" si="279"/>
        <v>1</v>
      </c>
      <c r="AE645" s="12" t="b">
        <f t="shared" si="280"/>
        <v>1</v>
      </c>
      <c r="AF645" s="12" t="b">
        <f t="shared" si="281"/>
        <v>1</v>
      </c>
    </row>
    <row r="646" spans="1:32" s="12" customFormat="1" ht="15.75" customHeight="1">
      <c r="A646" s="285"/>
      <c r="B646" s="182" t="s">
        <v>137</v>
      </c>
      <c r="C646" s="36" t="s">
        <v>34</v>
      </c>
      <c r="D646" s="37" t="s">
        <v>82</v>
      </c>
      <c r="E646" s="37" t="s">
        <v>69</v>
      </c>
      <c r="F646" s="37" t="s">
        <v>363</v>
      </c>
      <c r="G646" s="37" t="s">
        <v>155</v>
      </c>
      <c r="H646" s="183">
        <f>166.64+2.94</f>
        <v>169.57999999999998</v>
      </c>
      <c r="I646" s="183">
        <f t="shared" ref="I646:J646" si="291">166.64+2.94</f>
        <v>169.57999999999998</v>
      </c>
      <c r="J646" s="183">
        <f t="shared" si="291"/>
        <v>169.57999999999998</v>
      </c>
      <c r="K646" s="183">
        <v>169.57999999999998</v>
      </c>
      <c r="L646" s="183">
        <v>169.57999999999998</v>
      </c>
      <c r="M646" s="183">
        <v>169.57999999999998</v>
      </c>
      <c r="N646" s="43">
        <f t="shared" si="289"/>
        <v>0</v>
      </c>
      <c r="O646" s="183">
        <v>169.57999999999998</v>
      </c>
      <c r="P646" s="183">
        <v>169.57999999999998</v>
      </c>
      <c r="Q646" s="183">
        <v>169.57999999999998</v>
      </c>
      <c r="R646" s="472">
        <f t="shared" si="272"/>
        <v>0</v>
      </c>
      <c r="S646" s="472">
        <f t="shared" si="273"/>
        <v>0</v>
      </c>
      <c r="T646" s="472">
        <f t="shared" si="274"/>
        <v>0</v>
      </c>
      <c r="U646" s="182" t="s">
        <v>137</v>
      </c>
      <c r="V646" s="36" t="s">
        <v>34</v>
      </c>
      <c r="W646" s="37" t="s">
        <v>82</v>
      </c>
      <c r="X646" s="37" t="s">
        <v>69</v>
      </c>
      <c r="Y646" s="37" t="s">
        <v>363</v>
      </c>
      <c r="Z646" s="37" t="s">
        <v>155</v>
      </c>
      <c r="AA646" s="12" t="b">
        <f t="shared" si="276"/>
        <v>1</v>
      </c>
      <c r="AB646" s="12" t="b">
        <f t="shared" si="277"/>
        <v>1</v>
      </c>
      <c r="AC646" s="12" t="b">
        <f t="shared" si="278"/>
        <v>1</v>
      </c>
      <c r="AD646" s="12" t="b">
        <f t="shared" si="279"/>
        <v>1</v>
      </c>
      <c r="AE646" s="12" t="b">
        <f t="shared" si="280"/>
        <v>1</v>
      </c>
      <c r="AF646" s="12" t="b">
        <f t="shared" si="281"/>
        <v>1</v>
      </c>
    </row>
    <row r="647" spans="1:32" s="12" customFormat="1" ht="15.75" customHeight="1">
      <c r="A647" s="285"/>
      <c r="B647" s="182" t="s">
        <v>161</v>
      </c>
      <c r="C647" s="36" t="s">
        <v>34</v>
      </c>
      <c r="D647" s="37" t="s">
        <v>82</v>
      </c>
      <c r="E647" s="37" t="s">
        <v>69</v>
      </c>
      <c r="F647" s="37" t="s">
        <v>364</v>
      </c>
      <c r="G647" s="37" t="s">
        <v>90</v>
      </c>
      <c r="H647" s="183">
        <f>H648</f>
        <v>17896.03</v>
      </c>
      <c r="I647" s="183">
        <f>I648</f>
        <v>17896.03</v>
      </c>
      <c r="J647" s="183">
        <f>J648</f>
        <v>17896.03</v>
      </c>
      <c r="K647" s="183">
        <v>17896.03</v>
      </c>
      <c r="L647" s="183">
        <v>17896.03</v>
      </c>
      <c r="M647" s="183">
        <v>17896.03</v>
      </c>
      <c r="N647" s="43">
        <f t="shared" si="289"/>
        <v>0</v>
      </c>
      <c r="O647" s="183">
        <v>17896.03</v>
      </c>
      <c r="P647" s="183">
        <v>17896.03</v>
      </c>
      <c r="Q647" s="183">
        <v>17896.03</v>
      </c>
      <c r="R647" s="472">
        <f t="shared" si="272"/>
        <v>0</v>
      </c>
      <c r="S647" s="472">
        <f t="shared" si="273"/>
        <v>0</v>
      </c>
      <c r="T647" s="472">
        <f t="shared" si="274"/>
        <v>0</v>
      </c>
      <c r="U647" s="182" t="s">
        <v>161</v>
      </c>
      <c r="V647" s="36" t="s">
        <v>34</v>
      </c>
      <c r="W647" s="37" t="s">
        <v>82</v>
      </c>
      <c r="X647" s="37" t="s">
        <v>69</v>
      </c>
      <c r="Y647" s="37" t="s">
        <v>364</v>
      </c>
      <c r="Z647" s="37" t="s">
        <v>90</v>
      </c>
      <c r="AA647" s="12" t="b">
        <f t="shared" si="276"/>
        <v>1</v>
      </c>
      <c r="AB647" s="12" t="b">
        <f t="shared" si="277"/>
        <v>1</v>
      </c>
      <c r="AC647" s="12" t="b">
        <f t="shared" si="278"/>
        <v>1</v>
      </c>
      <c r="AD647" s="12" t="b">
        <f t="shared" si="279"/>
        <v>1</v>
      </c>
      <c r="AE647" s="12" t="b">
        <f t="shared" si="280"/>
        <v>1</v>
      </c>
      <c r="AF647" s="12" t="b">
        <f t="shared" si="281"/>
        <v>1</v>
      </c>
    </row>
    <row r="648" spans="1:32" s="12" customFormat="1" ht="15.75" customHeight="1">
      <c r="A648" s="285"/>
      <c r="B648" s="54" t="s">
        <v>144</v>
      </c>
      <c r="C648" s="56" t="s">
        <v>34</v>
      </c>
      <c r="D648" s="57" t="s">
        <v>82</v>
      </c>
      <c r="E648" s="57" t="s">
        <v>69</v>
      </c>
      <c r="F648" s="57" t="s">
        <v>364</v>
      </c>
      <c r="G648" s="57" t="s">
        <v>152</v>
      </c>
      <c r="H648" s="58">
        <f>13242.36+3999.19+654.48</f>
        <v>17896.03</v>
      </c>
      <c r="I648" s="58">
        <f>13242.36+3999.19+654.48</f>
        <v>17896.03</v>
      </c>
      <c r="J648" s="58">
        <f>13242.36+3999.19+654.48</f>
        <v>17896.03</v>
      </c>
      <c r="K648" s="58">
        <v>17896.03</v>
      </c>
      <c r="L648" s="58">
        <v>17896.03</v>
      </c>
      <c r="M648" s="58">
        <v>17896.03</v>
      </c>
      <c r="N648" s="43">
        <f t="shared" si="289"/>
        <v>0</v>
      </c>
      <c r="O648" s="58">
        <v>17896.03</v>
      </c>
      <c r="P648" s="58">
        <v>17896.03</v>
      </c>
      <c r="Q648" s="58">
        <v>17896.03</v>
      </c>
      <c r="R648" s="472">
        <f t="shared" si="272"/>
        <v>0</v>
      </c>
      <c r="S648" s="472">
        <f t="shared" si="273"/>
        <v>0</v>
      </c>
      <c r="T648" s="472">
        <f t="shared" si="274"/>
        <v>0</v>
      </c>
      <c r="U648" s="54" t="s">
        <v>144</v>
      </c>
      <c r="V648" s="56" t="s">
        <v>34</v>
      </c>
      <c r="W648" s="57" t="s">
        <v>82</v>
      </c>
      <c r="X648" s="57" t="s">
        <v>69</v>
      </c>
      <c r="Y648" s="57" t="s">
        <v>364</v>
      </c>
      <c r="Z648" s="57" t="s">
        <v>152</v>
      </c>
      <c r="AA648" s="12" t="b">
        <f t="shared" si="276"/>
        <v>1</v>
      </c>
      <c r="AB648" s="12" t="b">
        <f t="shared" si="277"/>
        <v>1</v>
      </c>
      <c r="AC648" s="12" t="b">
        <f t="shared" si="278"/>
        <v>1</v>
      </c>
      <c r="AD648" s="12" t="b">
        <f t="shared" si="279"/>
        <v>1</v>
      </c>
      <c r="AE648" s="12" t="b">
        <f t="shared" si="280"/>
        <v>1</v>
      </c>
      <c r="AF648" s="12" t="b">
        <f t="shared" si="281"/>
        <v>1</v>
      </c>
    </row>
    <row r="649" spans="1:32" s="12" customFormat="1" ht="15.75" customHeight="1">
      <c r="A649" s="285"/>
      <c r="B649" s="22" t="s">
        <v>200</v>
      </c>
      <c r="C649" s="36" t="s">
        <v>34</v>
      </c>
      <c r="D649" s="37" t="s">
        <v>82</v>
      </c>
      <c r="E649" s="37" t="s">
        <v>69</v>
      </c>
      <c r="F649" s="37" t="s">
        <v>346</v>
      </c>
      <c r="G649" s="37" t="s">
        <v>90</v>
      </c>
      <c r="H649" s="183">
        <f t="shared" ref="H649:J650" si="292">H650</f>
        <v>704.37</v>
      </c>
      <c r="I649" s="183">
        <f t="shared" si="292"/>
        <v>704.37</v>
      </c>
      <c r="J649" s="183">
        <f t="shared" si="292"/>
        <v>704.37</v>
      </c>
      <c r="K649" s="183">
        <v>704.37</v>
      </c>
      <c r="L649" s="183">
        <v>704.37</v>
      </c>
      <c r="M649" s="183">
        <v>704.37</v>
      </c>
      <c r="N649" s="43">
        <f t="shared" si="289"/>
        <v>0</v>
      </c>
      <c r="O649" s="183">
        <v>704.37</v>
      </c>
      <c r="P649" s="183">
        <v>704.37</v>
      </c>
      <c r="Q649" s="183">
        <v>704.37</v>
      </c>
      <c r="R649" s="472">
        <f t="shared" si="272"/>
        <v>0</v>
      </c>
      <c r="S649" s="472">
        <f t="shared" si="273"/>
        <v>0</v>
      </c>
      <c r="T649" s="472">
        <f t="shared" si="274"/>
        <v>0</v>
      </c>
      <c r="U649" s="22" t="s">
        <v>200</v>
      </c>
      <c r="V649" s="36" t="s">
        <v>34</v>
      </c>
      <c r="W649" s="37" t="s">
        <v>82</v>
      </c>
      <c r="X649" s="37" t="s">
        <v>69</v>
      </c>
      <c r="Y649" s="37" t="s">
        <v>346</v>
      </c>
      <c r="Z649" s="37" t="s">
        <v>90</v>
      </c>
      <c r="AA649" s="12" t="b">
        <f t="shared" si="276"/>
        <v>1</v>
      </c>
      <c r="AB649" s="12" t="b">
        <f t="shared" si="277"/>
        <v>1</v>
      </c>
      <c r="AC649" s="12" t="b">
        <f t="shared" si="278"/>
        <v>1</v>
      </c>
      <c r="AD649" s="12" t="b">
        <f t="shared" si="279"/>
        <v>1</v>
      </c>
      <c r="AE649" s="12" t="b">
        <f t="shared" si="280"/>
        <v>1</v>
      </c>
      <c r="AF649" s="12" t="b">
        <f t="shared" si="281"/>
        <v>1</v>
      </c>
    </row>
    <row r="650" spans="1:32" s="12" customFormat="1" ht="15.75" customHeight="1">
      <c r="A650" s="285"/>
      <c r="B650" s="182" t="s">
        <v>614</v>
      </c>
      <c r="C650" s="36" t="s">
        <v>34</v>
      </c>
      <c r="D650" s="37" t="s">
        <v>82</v>
      </c>
      <c r="E650" s="37" t="s">
        <v>69</v>
      </c>
      <c r="F650" s="37" t="s">
        <v>610</v>
      </c>
      <c r="G650" s="37" t="s">
        <v>90</v>
      </c>
      <c r="H650" s="183">
        <f t="shared" si="292"/>
        <v>704.37</v>
      </c>
      <c r="I650" s="183">
        <f t="shared" si="292"/>
        <v>704.37</v>
      </c>
      <c r="J650" s="183">
        <f t="shared" si="292"/>
        <v>704.37</v>
      </c>
      <c r="K650" s="183">
        <v>704.37</v>
      </c>
      <c r="L650" s="183">
        <v>704.37</v>
      </c>
      <c r="M650" s="183">
        <v>704.37</v>
      </c>
      <c r="N650" s="43">
        <f t="shared" si="289"/>
        <v>0</v>
      </c>
      <c r="O650" s="183">
        <v>704.37</v>
      </c>
      <c r="P650" s="183">
        <v>704.37</v>
      </c>
      <c r="Q650" s="183">
        <v>704.37</v>
      </c>
      <c r="R650" s="472">
        <f t="shared" si="272"/>
        <v>0</v>
      </c>
      <c r="S650" s="472">
        <f t="shared" si="273"/>
        <v>0</v>
      </c>
      <c r="T650" s="472">
        <f t="shared" si="274"/>
        <v>0</v>
      </c>
      <c r="U650" s="182" t="s">
        <v>614</v>
      </c>
      <c r="V650" s="36" t="s">
        <v>34</v>
      </c>
      <c r="W650" s="37" t="s">
        <v>82</v>
      </c>
      <c r="X650" s="37" t="s">
        <v>69</v>
      </c>
      <c r="Y650" s="37" t="s">
        <v>610</v>
      </c>
      <c r="Z650" s="37" t="s">
        <v>90</v>
      </c>
      <c r="AA650" s="12" t="b">
        <f t="shared" si="276"/>
        <v>1</v>
      </c>
      <c r="AB650" s="12" t="b">
        <f t="shared" si="277"/>
        <v>1</v>
      </c>
      <c r="AC650" s="12" t="b">
        <f t="shared" si="278"/>
        <v>1</v>
      </c>
      <c r="AD650" s="12" t="b">
        <f t="shared" si="279"/>
        <v>1</v>
      </c>
      <c r="AE650" s="12" t="b">
        <f t="shared" si="280"/>
        <v>1</v>
      </c>
      <c r="AF650" s="12" t="b">
        <f t="shared" si="281"/>
        <v>1</v>
      </c>
    </row>
    <row r="651" spans="1:32" s="12" customFormat="1" ht="15.75" customHeight="1">
      <c r="A651" s="285"/>
      <c r="B651" s="182" t="s">
        <v>145</v>
      </c>
      <c r="C651" s="36" t="s">
        <v>34</v>
      </c>
      <c r="D651" s="37" t="s">
        <v>82</v>
      </c>
      <c r="E651" s="37" t="s">
        <v>69</v>
      </c>
      <c r="F651" s="37" t="s">
        <v>610</v>
      </c>
      <c r="G651" s="37" t="s">
        <v>153</v>
      </c>
      <c r="H651" s="183">
        <v>704.37</v>
      </c>
      <c r="I651" s="183">
        <v>704.37</v>
      </c>
      <c r="J651" s="183">
        <v>704.37</v>
      </c>
      <c r="K651" s="183">
        <v>704.37</v>
      </c>
      <c r="L651" s="183">
        <v>704.37</v>
      </c>
      <c r="M651" s="183">
        <v>704.37</v>
      </c>
      <c r="N651" s="43">
        <f t="shared" si="289"/>
        <v>0</v>
      </c>
      <c r="O651" s="183">
        <v>704.37</v>
      </c>
      <c r="P651" s="183">
        <v>704.37</v>
      </c>
      <c r="Q651" s="183">
        <v>704.37</v>
      </c>
      <c r="R651" s="472">
        <f t="shared" si="272"/>
        <v>0</v>
      </c>
      <c r="S651" s="472">
        <f t="shared" si="273"/>
        <v>0</v>
      </c>
      <c r="T651" s="472">
        <f t="shared" si="274"/>
        <v>0</v>
      </c>
      <c r="U651" s="182" t="s">
        <v>145</v>
      </c>
      <c r="V651" s="36" t="s">
        <v>34</v>
      </c>
      <c r="W651" s="37" t="s">
        <v>82</v>
      </c>
      <c r="X651" s="37" t="s">
        <v>69</v>
      </c>
      <c r="Y651" s="37" t="s">
        <v>610</v>
      </c>
      <c r="Z651" s="37" t="s">
        <v>153</v>
      </c>
      <c r="AA651" s="12" t="b">
        <f t="shared" si="276"/>
        <v>1</v>
      </c>
      <c r="AB651" s="12" t="b">
        <f t="shared" si="277"/>
        <v>1</v>
      </c>
      <c r="AC651" s="12" t="b">
        <f t="shared" si="278"/>
        <v>1</v>
      </c>
      <c r="AD651" s="12" t="b">
        <f t="shared" si="279"/>
        <v>1</v>
      </c>
      <c r="AE651" s="12" t="b">
        <f t="shared" si="280"/>
        <v>1</v>
      </c>
      <c r="AF651" s="12" t="b">
        <f t="shared" si="281"/>
        <v>1</v>
      </c>
    </row>
    <row r="652" spans="1:32" s="12" customFormat="1" ht="15.75" customHeight="1">
      <c r="A652" s="285"/>
      <c r="B652" s="182"/>
      <c r="C652" s="36"/>
      <c r="D652" s="37"/>
      <c r="E652" s="37"/>
      <c r="F652" s="37"/>
      <c r="G652" s="37"/>
      <c r="H652" s="183"/>
      <c r="I652" s="183"/>
      <c r="J652" s="183"/>
      <c r="K652" s="183"/>
      <c r="L652" s="183"/>
      <c r="M652" s="183"/>
      <c r="N652" s="43">
        <f t="shared" si="289"/>
        <v>0</v>
      </c>
      <c r="O652" s="183"/>
      <c r="P652" s="183"/>
      <c r="Q652" s="183"/>
      <c r="R652" s="472">
        <f t="shared" si="272"/>
        <v>0</v>
      </c>
      <c r="S652" s="472">
        <f t="shared" si="273"/>
        <v>0</v>
      </c>
      <c r="T652" s="472">
        <f t="shared" si="274"/>
        <v>0</v>
      </c>
      <c r="U652" s="182"/>
      <c r="V652" s="36"/>
      <c r="W652" s="37"/>
      <c r="X652" s="37"/>
      <c r="Y652" s="37"/>
      <c r="Z652" s="37"/>
      <c r="AA652" s="12" t="b">
        <f t="shared" si="276"/>
        <v>1</v>
      </c>
      <c r="AB652" s="12" t="b">
        <f t="shared" si="277"/>
        <v>1</v>
      </c>
      <c r="AC652" s="12" t="b">
        <f t="shared" si="278"/>
        <v>1</v>
      </c>
      <c r="AD652" s="12" t="b">
        <f t="shared" si="279"/>
        <v>1</v>
      </c>
      <c r="AE652" s="12" t="b">
        <f t="shared" si="280"/>
        <v>1</v>
      </c>
      <c r="AF652" s="12" t="b">
        <f t="shared" si="281"/>
        <v>1</v>
      </c>
    </row>
    <row r="653" spans="1:32" s="172" customFormat="1" ht="15.75" customHeight="1">
      <c r="A653" s="282"/>
      <c r="B653" s="42" t="s">
        <v>204</v>
      </c>
      <c r="C653" s="25" t="s">
        <v>95</v>
      </c>
      <c r="D653" s="26" t="s">
        <v>83</v>
      </c>
      <c r="E653" s="26" t="s">
        <v>83</v>
      </c>
      <c r="F653" s="26" t="s">
        <v>223</v>
      </c>
      <c r="G653" s="26" t="s">
        <v>90</v>
      </c>
      <c r="H653" s="108">
        <f>H672+H654+H665</f>
        <v>2908202.04</v>
      </c>
      <c r="I653" s="108">
        <f>I672+I654+I665</f>
        <v>2290944.86</v>
      </c>
      <c r="J653" s="108">
        <f>J672+J654+J665</f>
        <v>2237304.1000000006</v>
      </c>
      <c r="K653" s="108">
        <v>2778423.5300000007</v>
      </c>
      <c r="L653" s="108">
        <v>2286400.54</v>
      </c>
      <c r="M653" s="108">
        <v>2245877.7400000002</v>
      </c>
      <c r="N653" s="43">
        <f t="shared" si="289"/>
        <v>-129778.50999999931</v>
      </c>
      <c r="O653" s="108">
        <v>2778423.5300000007</v>
      </c>
      <c r="P653" s="108">
        <v>2286400.54</v>
      </c>
      <c r="Q653" s="108">
        <v>2245877.7400000002</v>
      </c>
      <c r="R653" s="472">
        <f t="shared" si="272"/>
        <v>129778.50999999931</v>
      </c>
      <c r="S653" s="472">
        <f t="shared" si="273"/>
        <v>4544.3199999998324</v>
      </c>
      <c r="T653" s="472">
        <f t="shared" si="274"/>
        <v>-8573.6399999996647</v>
      </c>
      <c r="U653" s="42" t="s">
        <v>204</v>
      </c>
      <c r="V653" s="25" t="s">
        <v>95</v>
      </c>
      <c r="W653" s="26" t="s">
        <v>83</v>
      </c>
      <c r="X653" s="26" t="s">
        <v>83</v>
      </c>
      <c r="Y653" s="26" t="s">
        <v>223</v>
      </c>
      <c r="Z653" s="26" t="s">
        <v>90</v>
      </c>
      <c r="AA653" s="12" t="b">
        <f t="shared" si="276"/>
        <v>1</v>
      </c>
      <c r="AB653" s="12" t="b">
        <f t="shared" si="277"/>
        <v>1</v>
      </c>
      <c r="AC653" s="12" t="b">
        <f t="shared" si="278"/>
        <v>1</v>
      </c>
      <c r="AD653" s="12" t="b">
        <f t="shared" si="279"/>
        <v>1</v>
      </c>
      <c r="AE653" s="12" t="b">
        <f t="shared" si="280"/>
        <v>1</v>
      </c>
      <c r="AF653" s="12" t="b">
        <f t="shared" si="281"/>
        <v>1</v>
      </c>
    </row>
    <row r="654" spans="1:32" s="38" customFormat="1" ht="15.75" customHeight="1">
      <c r="A654" s="286"/>
      <c r="B654" s="28" t="s">
        <v>97</v>
      </c>
      <c r="C654" s="29" t="s">
        <v>95</v>
      </c>
      <c r="D654" s="30" t="s">
        <v>98</v>
      </c>
      <c r="E654" s="30" t="s">
        <v>83</v>
      </c>
      <c r="F654" s="30" t="s">
        <v>223</v>
      </c>
      <c r="G654" s="30" t="s">
        <v>90</v>
      </c>
      <c r="H654" s="31">
        <f t="shared" ref="H654:J659" si="293">H655</f>
        <v>108.95</v>
      </c>
      <c r="I654" s="31">
        <f t="shared" si="293"/>
        <v>8.9499999999999993</v>
      </c>
      <c r="J654" s="31">
        <f t="shared" si="293"/>
        <v>8.9499999999999993</v>
      </c>
      <c r="K654" s="31">
        <v>108.95</v>
      </c>
      <c r="L654" s="31">
        <v>8.9499999999999993</v>
      </c>
      <c r="M654" s="31">
        <v>8.9499999999999993</v>
      </c>
      <c r="N654" s="43">
        <f t="shared" si="289"/>
        <v>0</v>
      </c>
      <c r="O654" s="31">
        <v>108.95</v>
      </c>
      <c r="P654" s="31">
        <v>8.9499999999999993</v>
      </c>
      <c r="Q654" s="31">
        <v>8.9499999999999993</v>
      </c>
      <c r="R654" s="472">
        <f t="shared" si="272"/>
        <v>0</v>
      </c>
      <c r="S654" s="472">
        <f t="shared" si="273"/>
        <v>0</v>
      </c>
      <c r="T654" s="472">
        <f t="shared" si="274"/>
        <v>0</v>
      </c>
      <c r="U654" s="28" t="s">
        <v>97</v>
      </c>
      <c r="V654" s="29" t="s">
        <v>95</v>
      </c>
      <c r="W654" s="30" t="s">
        <v>98</v>
      </c>
      <c r="X654" s="30" t="s">
        <v>83</v>
      </c>
      <c r="Y654" s="30" t="s">
        <v>223</v>
      </c>
      <c r="Z654" s="30" t="s">
        <v>90</v>
      </c>
      <c r="AA654" s="12" t="b">
        <f t="shared" si="276"/>
        <v>1</v>
      </c>
      <c r="AB654" s="12" t="b">
        <f t="shared" si="277"/>
        <v>1</v>
      </c>
      <c r="AC654" s="12" t="b">
        <f t="shared" si="278"/>
        <v>1</v>
      </c>
      <c r="AD654" s="12" t="b">
        <f t="shared" si="279"/>
        <v>1</v>
      </c>
      <c r="AE654" s="12" t="b">
        <f t="shared" si="280"/>
        <v>1</v>
      </c>
      <c r="AF654" s="12" t="b">
        <f t="shared" si="281"/>
        <v>1</v>
      </c>
    </row>
    <row r="655" spans="1:32" s="38" customFormat="1" ht="15.75" customHeight="1">
      <c r="A655" s="286"/>
      <c r="B655" s="32" t="s">
        <v>70</v>
      </c>
      <c r="C655" s="33" t="s">
        <v>95</v>
      </c>
      <c r="D655" s="34" t="s">
        <v>98</v>
      </c>
      <c r="E655" s="34" t="s">
        <v>124</v>
      </c>
      <c r="F655" s="34" t="s">
        <v>223</v>
      </c>
      <c r="G655" s="34" t="s">
        <v>90</v>
      </c>
      <c r="H655" s="35">
        <f>H656+H661</f>
        <v>108.95</v>
      </c>
      <c r="I655" s="35">
        <f t="shared" si="293"/>
        <v>8.9499999999999993</v>
      </c>
      <c r="J655" s="35">
        <f t="shared" si="293"/>
        <v>8.9499999999999993</v>
      </c>
      <c r="K655" s="35">
        <v>108.95</v>
      </c>
      <c r="L655" s="35">
        <v>8.9499999999999993</v>
      </c>
      <c r="M655" s="35">
        <v>8.9499999999999993</v>
      </c>
      <c r="N655" s="43">
        <f t="shared" si="289"/>
        <v>0</v>
      </c>
      <c r="O655" s="35">
        <v>108.95</v>
      </c>
      <c r="P655" s="35">
        <v>8.9499999999999993</v>
      </c>
      <c r="Q655" s="35">
        <v>8.9499999999999993</v>
      </c>
      <c r="R655" s="472">
        <f t="shared" si="272"/>
        <v>0</v>
      </c>
      <c r="S655" s="472">
        <f t="shared" si="273"/>
        <v>0</v>
      </c>
      <c r="T655" s="472">
        <f t="shared" si="274"/>
        <v>0</v>
      </c>
      <c r="U655" s="32" t="s">
        <v>70</v>
      </c>
      <c r="V655" s="33" t="s">
        <v>95</v>
      </c>
      <c r="W655" s="34" t="s">
        <v>98</v>
      </c>
      <c r="X655" s="34" t="s">
        <v>124</v>
      </c>
      <c r="Y655" s="34" t="s">
        <v>223</v>
      </c>
      <c r="Z655" s="34" t="s">
        <v>90</v>
      </c>
      <c r="AA655" s="12" t="b">
        <f t="shared" si="276"/>
        <v>1</v>
      </c>
      <c r="AB655" s="12" t="b">
        <f t="shared" si="277"/>
        <v>1</v>
      </c>
      <c r="AC655" s="12" t="b">
        <f t="shared" si="278"/>
        <v>1</v>
      </c>
      <c r="AD655" s="12" t="b">
        <f t="shared" si="279"/>
        <v>1</v>
      </c>
      <c r="AE655" s="12" t="b">
        <f t="shared" si="280"/>
        <v>1</v>
      </c>
      <c r="AF655" s="12" t="b">
        <f t="shared" si="281"/>
        <v>1</v>
      </c>
    </row>
    <row r="656" spans="1:32" s="38" customFormat="1" ht="15.75" customHeight="1">
      <c r="A656" s="286"/>
      <c r="B656" s="23" t="s">
        <v>662</v>
      </c>
      <c r="C656" s="36" t="s">
        <v>95</v>
      </c>
      <c r="D656" s="37" t="s">
        <v>98</v>
      </c>
      <c r="E656" s="37" t="s">
        <v>124</v>
      </c>
      <c r="F656" s="37" t="s">
        <v>282</v>
      </c>
      <c r="G656" s="37" t="s">
        <v>90</v>
      </c>
      <c r="H656" s="183">
        <f t="shared" si="293"/>
        <v>8.9499999999999993</v>
      </c>
      <c r="I656" s="183">
        <f t="shared" si="293"/>
        <v>8.9499999999999993</v>
      </c>
      <c r="J656" s="183">
        <f t="shared" si="293"/>
        <v>8.9499999999999993</v>
      </c>
      <c r="K656" s="183">
        <v>8.9499999999999993</v>
      </c>
      <c r="L656" s="183">
        <v>8.9499999999999993</v>
      </c>
      <c r="M656" s="183">
        <v>8.9499999999999993</v>
      </c>
      <c r="N656" s="43">
        <f t="shared" si="289"/>
        <v>0</v>
      </c>
      <c r="O656" s="183">
        <v>8.9499999999999993</v>
      </c>
      <c r="P656" s="183">
        <v>8.9499999999999993</v>
      </c>
      <c r="Q656" s="183">
        <v>8.9499999999999993</v>
      </c>
      <c r="R656" s="472">
        <f t="shared" si="272"/>
        <v>0</v>
      </c>
      <c r="S656" s="472">
        <f t="shared" si="273"/>
        <v>0</v>
      </c>
      <c r="T656" s="472">
        <f t="shared" si="274"/>
        <v>0</v>
      </c>
      <c r="U656" s="23" t="s">
        <v>662</v>
      </c>
      <c r="V656" s="36" t="s">
        <v>95</v>
      </c>
      <c r="W656" s="37" t="s">
        <v>98</v>
      </c>
      <c r="X656" s="37" t="s">
        <v>124</v>
      </c>
      <c r="Y656" s="37" t="s">
        <v>282</v>
      </c>
      <c r="Z656" s="37" t="s">
        <v>90</v>
      </c>
      <c r="AA656" s="12" t="b">
        <f t="shared" si="276"/>
        <v>1</v>
      </c>
      <c r="AB656" s="12" t="b">
        <f t="shared" si="277"/>
        <v>1</v>
      </c>
      <c r="AC656" s="12" t="b">
        <f t="shared" si="278"/>
        <v>1</v>
      </c>
      <c r="AD656" s="12" t="b">
        <f t="shared" si="279"/>
        <v>1</v>
      </c>
      <c r="AE656" s="12" t="b">
        <f t="shared" si="280"/>
        <v>1</v>
      </c>
      <c r="AF656" s="12" t="b">
        <f t="shared" si="281"/>
        <v>1</v>
      </c>
    </row>
    <row r="657" spans="1:34" s="38" customFormat="1" ht="15.75" customHeight="1">
      <c r="A657" s="286"/>
      <c r="B657" s="23" t="s">
        <v>663</v>
      </c>
      <c r="C657" s="36" t="s">
        <v>95</v>
      </c>
      <c r="D657" s="37" t="s">
        <v>98</v>
      </c>
      <c r="E657" s="37" t="s">
        <v>124</v>
      </c>
      <c r="F657" s="37" t="s">
        <v>283</v>
      </c>
      <c r="G657" s="37" t="s">
        <v>90</v>
      </c>
      <c r="H657" s="183">
        <f t="shared" si="293"/>
        <v>8.9499999999999993</v>
      </c>
      <c r="I657" s="183">
        <f t="shared" si="293"/>
        <v>8.9499999999999993</v>
      </c>
      <c r="J657" s="183">
        <f t="shared" si="293"/>
        <v>8.9499999999999993</v>
      </c>
      <c r="K657" s="183">
        <v>8.9499999999999993</v>
      </c>
      <c r="L657" s="183">
        <v>8.9499999999999993</v>
      </c>
      <c r="M657" s="183">
        <v>8.9499999999999993</v>
      </c>
      <c r="N657" s="43">
        <f t="shared" si="289"/>
        <v>0</v>
      </c>
      <c r="O657" s="183">
        <v>8.9499999999999993</v>
      </c>
      <c r="P657" s="183">
        <v>8.9499999999999993</v>
      </c>
      <c r="Q657" s="183">
        <v>8.9499999999999993</v>
      </c>
      <c r="R657" s="472">
        <f t="shared" si="272"/>
        <v>0</v>
      </c>
      <c r="S657" s="472">
        <f t="shared" si="273"/>
        <v>0</v>
      </c>
      <c r="T657" s="472">
        <f t="shared" si="274"/>
        <v>0</v>
      </c>
      <c r="U657" s="23" t="s">
        <v>663</v>
      </c>
      <c r="V657" s="36" t="s">
        <v>95</v>
      </c>
      <c r="W657" s="37" t="s">
        <v>98</v>
      </c>
      <c r="X657" s="37" t="s">
        <v>124</v>
      </c>
      <c r="Y657" s="37" t="s">
        <v>283</v>
      </c>
      <c r="Z657" s="37" t="s">
        <v>90</v>
      </c>
      <c r="AA657" s="12" t="b">
        <f t="shared" si="276"/>
        <v>1</v>
      </c>
      <c r="AB657" s="12" t="b">
        <f t="shared" si="277"/>
        <v>1</v>
      </c>
      <c r="AC657" s="12" t="b">
        <f t="shared" si="278"/>
        <v>1</v>
      </c>
      <c r="AD657" s="12" t="b">
        <f t="shared" si="279"/>
        <v>1</v>
      </c>
      <c r="AE657" s="12" t="b">
        <f t="shared" si="280"/>
        <v>1</v>
      </c>
      <c r="AF657" s="12" t="b">
        <f t="shared" si="281"/>
        <v>1</v>
      </c>
    </row>
    <row r="658" spans="1:34" s="38" customFormat="1" ht="15.75" customHeight="1">
      <c r="A658" s="286"/>
      <c r="B658" s="182" t="s">
        <v>284</v>
      </c>
      <c r="C658" s="36" t="s">
        <v>95</v>
      </c>
      <c r="D658" s="37" t="s">
        <v>98</v>
      </c>
      <c r="E658" s="37" t="s">
        <v>124</v>
      </c>
      <c r="F658" s="37" t="s">
        <v>287</v>
      </c>
      <c r="G658" s="37" t="s">
        <v>90</v>
      </c>
      <c r="H658" s="183">
        <f t="shared" si="293"/>
        <v>8.9499999999999993</v>
      </c>
      <c r="I658" s="183">
        <f t="shared" si="293"/>
        <v>8.9499999999999993</v>
      </c>
      <c r="J658" s="183">
        <f t="shared" si="293"/>
        <v>8.9499999999999993</v>
      </c>
      <c r="K658" s="183">
        <v>8.9499999999999993</v>
      </c>
      <c r="L658" s="183">
        <v>8.9499999999999993</v>
      </c>
      <c r="M658" s="183">
        <v>8.9499999999999993</v>
      </c>
      <c r="N658" s="43">
        <f t="shared" si="289"/>
        <v>0</v>
      </c>
      <c r="O658" s="183">
        <v>8.9499999999999993</v>
      </c>
      <c r="P658" s="183">
        <v>8.9499999999999993</v>
      </c>
      <c r="Q658" s="183">
        <v>8.9499999999999993</v>
      </c>
      <c r="R658" s="472">
        <f t="shared" si="272"/>
        <v>0</v>
      </c>
      <c r="S658" s="472">
        <f t="shared" si="273"/>
        <v>0</v>
      </c>
      <c r="T658" s="472">
        <f t="shared" si="274"/>
        <v>0</v>
      </c>
      <c r="U658" s="182" t="s">
        <v>284</v>
      </c>
      <c r="V658" s="36" t="s">
        <v>95</v>
      </c>
      <c r="W658" s="37" t="s">
        <v>98</v>
      </c>
      <c r="X658" s="37" t="s">
        <v>124</v>
      </c>
      <c r="Y658" s="37" t="s">
        <v>287</v>
      </c>
      <c r="Z658" s="37" t="s">
        <v>90</v>
      </c>
      <c r="AA658" s="12" t="b">
        <f t="shared" si="276"/>
        <v>1</v>
      </c>
      <c r="AB658" s="12" t="b">
        <f t="shared" si="277"/>
        <v>1</v>
      </c>
      <c r="AC658" s="12" t="b">
        <f t="shared" si="278"/>
        <v>1</v>
      </c>
      <c r="AD658" s="12" t="b">
        <f t="shared" si="279"/>
        <v>1</v>
      </c>
      <c r="AE658" s="12" t="b">
        <f t="shared" si="280"/>
        <v>1</v>
      </c>
      <c r="AF658" s="12" t="b">
        <f t="shared" si="281"/>
        <v>1</v>
      </c>
    </row>
    <row r="659" spans="1:34" s="172" customFormat="1" ht="15.75" customHeight="1">
      <c r="A659" s="282"/>
      <c r="B659" s="182" t="s">
        <v>739</v>
      </c>
      <c r="C659" s="36" t="s">
        <v>95</v>
      </c>
      <c r="D659" s="37" t="s">
        <v>98</v>
      </c>
      <c r="E659" s="37" t="s">
        <v>124</v>
      </c>
      <c r="F659" s="37" t="s">
        <v>955</v>
      </c>
      <c r="G659" s="37" t="s">
        <v>90</v>
      </c>
      <c r="H659" s="183">
        <f t="shared" si="293"/>
        <v>8.9499999999999993</v>
      </c>
      <c r="I659" s="183">
        <f t="shared" si="293"/>
        <v>8.9499999999999993</v>
      </c>
      <c r="J659" s="183">
        <f t="shared" si="293"/>
        <v>8.9499999999999993</v>
      </c>
      <c r="K659" s="183">
        <v>8.9499999999999993</v>
      </c>
      <c r="L659" s="183">
        <v>8.9499999999999993</v>
      </c>
      <c r="M659" s="183">
        <v>8.9499999999999993</v>
      </c>
      <c r="N659" s="43">
        <f t="shared" si="289"/>
        <v>0</v>
      </c>
      <c r="O659" s="183">
        <v>8.9499999999999993</v>
      </c>
      <c r="P659" s="183">
        <v>8.9499999999999993</v>
      </c>
      <c r="Q659" s="183">
        <v>8.9499999999999993</v>
      </c>
      <c r="R659" s="472">
        <f t="shared" si="272"/>
        <v>0</v>
      </c>
      <c r="S659" s="472">
        <f t="shared" si="273"/>
        <v>0</v>
      </c>
      <c r="T659" s="472">
        <f t="shared" si="274"/>
        <v>0</v>
      </c>
      <c r="U659" s="182" t="s">
        <v>739</v>
      </c>
      <c r="V659" s="36" t="s">
        <v>95</v>
      </c>
      <c r="W659" s="37" t="s">
        <v>98</v>
      </c>
      <c r="X659" s="37" t="s">
        <v>124</v>
      </c>
      <c r="Y659" s="37" t="s">
        <v>955</v>
      </c>
      <c r="Z659" s="37" t="s">
        <v>90</v>
      </c>
      <c r="AA659" s="12" t="b">
        <f t="shared" si="276"/>
        <v>1</v>
      </c>
      <c r="AB659" s="12" t="b">
        <f t="shared" si="277"/>
        <v>1</v>
      </c>
      <c r="AC659" s="12" t="b">
        <f t="shared" si="278"/>
        <v>1</v>
      </c>
      <c r="AD659" s="12" t="b">
        <f t="shared" si="279"/>
        <v>1</v>
      </c>
      <c r="AE659" s="12" t="b">
        <f t="shared" si="280"/>
        <v>1</v>
      </c>
      <c r="AF659" s="12" t="b">
        <f t="shared" si="281"/>
        <v>1</v>
      </c>
    </row>
    <row r="660" spans="1:34" s="172" customFormat="1" ht="15.75" customHeight="1">
      <c r="A660" s="282"/>
      <c r="B660" s="182" t="s">
        <v>145</v>
      </c>
      <c r="C660" s="36" t="s">
        <v>95</v>
      </c>
      <c r="D660" s="37" t="s">
        <v>98</v>
      </c>
      <c r="E660" s="37" t="s">
        <v>124</v>
      </c>
      <c r="F660" s="37" t="s">
        <v>955</v>
      </c>
      <c r="G660" s="37" t="s">
        <v>153</v>
      </c>
      <c r="H660" s="183">
        <v>8.9499999999999993</v>
      </c>
      <c r="I660" s="183">
        <v>8.9499999999999993</v>
      </c>
      <c r="J660" s="183">
        <v>8.9499999999999993</v>
      </c>
      <c r="K660" s="183">
        <v>8.9499999999999993</v>
      </c>
      <c r="L660" s="183">
        <v>8.9499999999999993</v>
      </c>
      <c r="M660" s="183">
        <v>8.9499999999999993</v>
      </c>
      <c r="N660" s="43">
        <f t="shared" si="289"/>
        <v>0</v>
      </c>
      <c r="O660" s="183">
        <v>8.9499999999999993</v>
      </c>
      <c r="P660" s="183">
        <v>8.9499999999999993</v>
      </c>
      <c r="Q660" s="183">
        <v>8.9499999999999993</v>
      </c>
      <c r="R660" s="472">
        <f t="shared" si="272"/>
        <v>0</v>
      </c>
      <c r="S660" s="472">
        <f t="shared" si="273"/>
        <v>0</v>
      </c>
      <c r="T660" s="472">
        <f t="shared" si="274"/>
        <v>0</v>
      </c>
      <c r="U660" s="182" t="s">
        <v>145</v>
      </c>
      <c r="V660" s="36" t="s">
        <v>95</v>
      </c>
      <c r="W660" s="37" t="s">
        <v>98</v>
      </c>
      <c r="X660" s="37" t="s">
        <v>124</v>
      </c>
      <c r="Y660" s="37" t="s">
        <v>955</v>
      </c>
      <c r="Z660" s="37" t="s">
        <v>153</v>
      </c>
      <c r="AA660" s="12" t="b">
        <f t="shared" si="276"/>
        <v>1</v>
      </c>
      <c r="AB660" s="12" t="b">
        <f t="shared" si="277"/>
        <v>1</v>
      </c>
      <c r="AC660" s="12" t="b">
        <f t="shared" si="278"/>
        <v>1</v>
      </c>
      <c r="AD660" s="12" t="b">
        <f t="shared" si="279"/>
        <v>1</v>
      </c>
      <c r="AE660" s="12" t="b">
        <f t="shared" si="280"/>
        <v>1</v>
      </c>
      <c r="AF660" s="12" t="b">
        <f t="shared" si="281"/>
        <v>1</v>
      </c>
    </row>
    <row r="661" spans="1:34" s="12" customFormat="1" ht="15.75" customHeight="1">
      <c r="A661" s="285"/>
      <c r="B661" s="182" t="s">
        <v>607</v>
      </c>
      <c r="C661" s="36" t="s">
        <v>95</v>
      </c>
      <c r="D661" s="37" t="s">
        <v>98</v>
      </c>
      <c r="E661" s="37" t="s">
        <v>124</v>
      </c>
      <c r="F661" s="37" t="s">
        <v>604</v>
      </c>
      <c r="G661" s="37" t="s">
        <v>90</v>
      </c>
      <c r="H661" s="183">
        <f>H662</f>
        <v>100</v>
      </c>
      <c r="I661" s="183">
        <f t="shared" ref="I661:J663" si="294">I662</f>
        <v>0</v>
      </c>
      <c r="J661" s="183">
        <f t="shared" si="294"/>
        <v>0</v>
      </c>
      <c r="K661" s="183">
        <v>100</v>
      </c>
      <c r="L661" s="183">
        <v>0</v>
      </c>
      <c r="M661" s="183">
        <v>0</v>
      </c>
      <c r="N661" s="43">
        <f t="shared" si="289"/>
        <v>0</v>
      </c>
      <c r="O661" s="476">
        <v>100</v>
      </c>
      <c r="P661" s="476">
        <v>0</v>
      </c>
      <c r="Q661" s="476">
        <v>0</v>
      </c>
      <c r="R661" s="477"/>
      <c r="S661" s="477"/>
      <c r="T661" s="477"/>
      <c r="U661" s="182" t="s">
        <v>607</v>
      </c>
      <c r="V661" s="36" t="s">
        <v>95</v>
      </c>
      <c r="W661" s="37" t="s">
        <v>98</v>
      </c>
      <c r="X661" s="37" t="s">
        <v>124</v>
      </c>
      <c r="Y661" s="37" t="s">
        <v>604</v>
      </c>
      <c r="Z661" s="37" t="s">
        <v>90</v>
      </c>
      <c r="AA661" s="12" t="b">
        <f t="shared" si="276"/>
        <v>1</v>
      </c>
      <c r="AB661" s="12" t="b">
        <f t="shared" si="277"/>
        <v>1</v>
      </c>
      <c r="AC661" s="12" t="b">
        <f t="shared" si="278"/>
        <v>1</v>
      </c>
      <c r="AD661" s="12" t="b">
        <f t="shared" si="279"/>
        <v>1</v>
      </c>
      <c r="AE661" s="12" t="b">
        <f t="shared" si="280"/>
        <v>1</v>
      </c>
      <c r="AF661" s="12" t="b">
        <f t="shared" si="281"/>
        <v>1</v>
      </c>
      <c r="AG661" s="466" t="str">
        <f>CONCATENATE(AB661,B661,AA661,C661,AA661,D661,AA661,E661,AA661,F661,AA661,G661,AA661,R661,AC661,AA661,AD661,R661,AE661,H661,AF661)</f>
        <v>ИСТИНАРеализация иных функций Ставропольской городской Думы, администрации города Ставрополя, ее отраслевых (функциональных) и территориальных органовИСТИНА609ИСТИНА01ИСТИНА13ИСТИНА98 0 00 00000ИСТИНА000ИСТИНАИСТИНАИСТИНАИСТИНАИСТИНА100ИСТИНА</v>
      </c>
      <c r="AH661" s="479" t="str">
        <f>CONCATENATE(AB661,B661,AA661,C661,AA661,D661,AA661,E661,AA661,F661,AA661,G661,AA661,P661,AA661,Q661,AC661,AD661,P661,AA661,Q661,AE661,I661,AA661,J661,AF661)</f>
        <v>ИСТИНАРеализация иных функций Ставропольской городской Думы, администрации города Ставрополя, ее отраслевых (функциональных) и территориальных органовИСТИНА609ИСТИНА01ИСТИНА13ИСТИНА98 0 00 00000ИСТИНА000ИСТИНА0ИСТИНА0ИСТИНАИСТИНА0ИСТИНА0ИСТИНА0ИСТИНА0ИСТИНА</v>
      </c>
    </row>
    <row r="662" spans="1:34" s="12" customFormat="1" ht="15.75" customHeight="1">
      <c r="A662" s="285"/>
      <c r="B662" s="182" t="s">
        <v>608</v>
      </c>
      <c r="C662" s="36" t="s">
        <v>95</v>
      </c>
      <c r="D662" s="37" t="s">
        <v>98</v>
      </c>
      <c r="E662" s="37" t="s">
        <v>124</v>
      </c>
      <c r="F662" s="37" t="s">
        <v>1152</v>
      </c>
      <c r="G662" s="37" t="s">
        <v>90</v>
      </c>
      <c r="H662" s="183">
        <f>H663</f>
        <v>100</v>
      </c>
      <c r="I662" s="183">
        <f t="shared" si="294"/>
        <v>0</v>
      </c>
      <c r="J662" s="183">
        <f t="shared" si="294"/>
        <v>0</v>
      </c>
      <c r="K662" s="183">
        <v>100</v>
      </c>
      <c r="L662" s="183">
        <v>0</v>
      </c>
      <c r="M662" s="183">
        <v>0</v>
      </c>
      <c r="N662" s="43">
        <f t="shared" si="289"/>
        <v>0</v>
      </c>
      <c r="O662" s="476">
        <v>100</v>
      </c>
      <c r="P662" s="476">
        <v>0</v>
      </c>
      <c r="Q662" s="476">
        <v>0</v>
      </c>
      <c r="R662" s="477"/>
      <c r="S662" s="477"/>
      <c r="T662" s="477"/>
      <c r="U662" s="182" t="s">
        <v>608</v>
      </c>
      <c r="V662" s="36" t="s">
        <v>95</v>
      </c>
      <c r="W662" s="37" t="s">
        <v>98</v>
      </c>
      <c r="X662" s="37" t="s">
        <v>124</v>
      </c>
      <c r="Y662" s="37" t="s">
        <v>1152</v>
      </c>
      <c r="Z662" s="37" t="s">
        <v>90</v>
      </c>
      <c r="AA662" s="12" t="b">
        <f t="shared" si="276"/>
        <v>1</v>
      </c>
      <c r="AB662" s="12" t="b">
        <f t="shared" si="277"/>
        <v>1</v>
      </c>
      <c r="AC662" s="12" t="b">
        <f t="shared" si="278"/>
        <v>1</v>
      </c>
      <c r="AD662" s="12" t="b">
        <f t="shared" si="279"/>
        <v>1</v>
      </c>
      <c r="AE662" s="12" t="b">
        <f t="shared" si="280"/>
        <v>1</v>
      </c>
      <c r="AF662" s="12" t="b">
        <f t="shared" si="281"/>
        <v>1</v>
      </c>
      <c r="AG662" s="466" t="str">
        <f>CONCATENATE(AB662,B662,AA662,C662,AA662,D662,AA662,E662,AA662,F662,AA662,G662,AA662,R662,AC662,AA662,AD662,R662,AE662,H662,AF662)</f>
        <v>ИСТИНАИные непрограммные мероприятияИСТИНА609ИСТИНА01ИСТИНА13ИСТИНА98 1 00 00000 ИСТИНА000ИСТИНАИСТИНАИСТИНАИСТИНАИСТИНА100ИСТИНА</v>
      </c>
      <c r="AH662" s="479" t="str">
        <f>CONCATENATE(AB662,B662,AA662,C662,AA662,D662,AA662,E662,AA662,F662,AA662,G662,AA662,P662,AA662,Q662,AC662,AD662,P662,AA662,Q662,AE662,I662,AA662,J662,AF662)</f>
        <v>ИСТИНАИные непрограммные мероприятияИСТИНА609ИСТИНА01ИСТИНА13ИСТИНА98 1 00 00000 ИСТИНА000ИСТИНА0ИСТИНА0ИСТИНАИСТИНА0ИСТИНА0ИСТИНА0ИСТИНА0ИСТИНА</v>
      </c>
    </row>
    <row r="663" spans="1:34" s="12" customFormat="1" ht="15.75" customHeight="1">
      <c r="A663" s="285"/>
      <c r="B663" s="182" t="s">
        <v>1153</v>
      </c>
      <c r="C663" s="36" t="s">
        <v>95</v>
      </c>
      <c r="D663" s="37" t="s">
        <v>98</v>
      </c>
      <c r="E663" s="37" t="s">
        <v>124</v>
      </c>
      <c r="F663" s="37" t="s">
        <v>1154</v>
      </c>
      <c r="G663" s="37" t="s">
        <v>90</v>
      </c>
      <c r="H663" s="183">
        <f>H664</f>
        <v>100</v>
      </c>
      <c r="I663" s="183">
        <f t="shared" si="294"/>
        <v>0</v>
      </c>
      <c r="J663" s="183">
        <f t="shared" si="294"/>
        <v>0</v>
      </c>
      <c r="K663" s="183">
        <v>100</v>
      </c>
      <c r="L663" s="183">
        <v>0</v>
      </c>
      <c r="M663" s="183">
        <v>0</v>
      </c>
      <c r="N663" s="43">
        <f t="shared" si="289"/>
        <v>0</v>
      </c>
      <c r="O663" s="476">
        <v>100</v>
      </c>
      <c r="P663" s="476">
        <v>0</v>
      </c>
      <c r="Q663" s="476">
        <v>0</v>
      </c>
      <c r="R663" s="477"/>
      <c r="S663" s="477"/>
      <c r="T663" s="477"/>
      <c r="U663" s="182" t="s">
        <v>1153</v>
      </c>
      <c r="V663" s="36" t="s">
        <v>95</v>
      </c>
      <c r="W663" s="37" t="s">
        <v>98</v>
      </c>
      <c r="X663" s="37" t="s">
        <v>124</v>
      </c>
      <c r="Y663" s="37" t="s">
        <v>1154</v>
      </c>
      <c r="Z663" s="37" t="s">
        <v>90</v>
      </c>
      <c r="AA663" s="12" t="b">
        <f t="shared" si="276"/>
        <v>1</v>
      </c>
      <c r="AB663" s="12" t="b">
        <f t="shared" si="277"/>
        <v>1</v>
      </c>
      <c r="AC663" s="12" t="b">
        <f t="shared" si="278"/>
        <v>1</v>
      </c>
      <c r="AD663" s="12" t="b">
        <f t="shared" si="279"/>
        <v>1</v>
      </c>
      <c r="AE663" s="12" t="b">
        <f t="shared" si="280"/>
        <v>1</v>
      </c>
      <c r="AF663" s="12" t="b">
        <f t="shared" si="281"/>
        <v>1</v>
      </c>
      <c r="AG663" s="466" t="str">
        <f>CONCATENATE(AB663,B663,AA663,C663,AA663,D663,AA663,E663,AA663,F663,AA663,G663,AA663,R663,AC663,AA663,AD663,R663,AE663,H663,AF663)</f>
        <v>ИСТИНАОсуществление единовременной денежной выплаты гражданам, удостоенным звания «Почетный ветеран города Ставрополя»ИСТИНА609ИСТИНА01ИСТИНА13ИСТИНА98 1 00 21370ИСТИНА000ИСТИНАИСТИНАИСТИНАИСТИНАИСТИНА100ИСТИНА</v>
      </c>
      <c r="AH663" s="479"/>
    </row>
    <row r="664" spans="1:34" s="12" customFormat="1" ht="15.75" customHeight="1">
      <c r="A664" s="285"/>
      <c r="B664" s="182" t="s">
        <v>1155</v>
      </c>
      <c r="C664" s="36" t="s">
        <v>95</v>
      </c>
      <c r="D664" s="37" t="s">
        <v>98</v>
      </c>
      <c r="E664" s="37" t="s">
        <v>124</v>
      </c>
      <c r="F664" s="37" t="s">
        <v>1154</v>
      </c>
      <c r="G664" s="37" t="s">
        <v>1156</v>
      </c>
      <c r="H664" s="183">
        <v>100</v>
      </c>
      <c r="I664" s="183">
        <v>0</v>
      </c>
      <c r="J664" s="183">
        <v>0</v>
      </c>
      <c r="K664" s="183">
        <v>100</v>
      </c>
      <c r="L664" s="183">
        <v>0</v>
      </c>
      <c r="M664" s="183">
        <v>0</v>
      </c>
      <c r="N664" s="43">
        <f t="shared" si="289"/>
        <v>0</v>
      </c>
      <c r="O664" s="476">
        <v>100</v>
      </c>
      <c r="P664" s="476">
        <v>0</v>
      </c>
      <c r="Q664" s="476">
        <v>0</v>
      </c>
      <c r="R664" s="477"/>
      <c r="S664" s="477"/>
      <c r="T664" s="477"/>
      <c r="U664" s="182" t="s">
        <v>1155</v>
      </c>
      <c r="V664" s="36" t="s">
        <v>95</v>
      </c>
      <c r="W664" s="37" t="s">
        <v>98</v>
      </c>
      <c r="X664" s="37" t="s">
        <v>124</v>
      </c>
      <c r="Y664" s="37" t="s">
        <v>1154</v>
      </c>
      <c r="Z664" s="37" t="s">
        <v>1156</v>
      </c>
      <c r="AA664" s="12" t="b">
        <f t="shared" si="276"/>
        <v>1</v>
      </c>
      <c r="AB664" s="12" t="b">
        <f t="shared" si="277"/>
        <v>1</v>
      </c>
      <c r="AC664" s="12" t="b">
        <f t="shared" si="278"/>
        <v>1</v>
      </c>
      <c r="AD664" s="12" t="b">
        <f t="shared" si="279"/>
        <v>1</v>
      </c>
      <c r="AE664" s="12" t="b">
        <f t="shared" si="280"/>
        <v>1</v>
      </c>
      <c r="AF664" s="12" t="b">
        <f t="shared" si="281"/>
        <v>1</v>
      </c>
      <c r="AG664" s="466" t="str">
        <f>CONCATENATE(AB664,B664,AA664,C664,AA664,D664,AA664,E664,AA664,F664,AA664,G664,AA664,R664,AC664,AA664,AD664,R664,AE664,H664,AF664)</f>
        <v>ИСТИНАПубличные нормативные выплаты гражданам несоциального характераИСТИНА609ИСТИНА01ИСТИНА13ИСТИНА98 1 00 21370ИСТИНА330ИСТИНАИСТИНАИСТИНАИСТИНАИСТИНА100ИСТИНА</v>
      </c>
      <c r="AH664" s="479"/>
    </row>
    <row r="665" spans="1:34" s="172" customFormat="1" ht="15.75" customHeight="1">
      <c r="A665" s="282"/>
      <c r="B665" s="28" t="s">
        <v>123</v>
      </c>
      <c r="C665" s="29" t="s">
        <v>95</v>
      </c>
      <c r="D665" s="30" t="s">
        <v>82</v>
      </c>
      <c r="E665" s="30" t="s">
        <v>83</v>
      </c>
      <c r="F665" s="30" t="s">
        <v>223</v>
      </c>
      <c r="G665" s="30" t="s">
        <v>90</v>
      </c>
      <c r="H665" s="31">
        <f t="shared" ref="H665:J670" si="295">H666</f>
        <v>509</v>
      </c>
      <c r="I665" s="31">
        <f t="shared" si="295"/>
        <v>509</v>
      </c>
      <c r="J665" s="31">
        <f t="shared" si="295"/>
        <v>509</v>
      </c>
      <c r="K665" s="31">
        <v>509</v>
      </c>
      <c r="L665" s="31">
        <v>509</v>
      </c>
      <c r="M665" s="31">
        <v>509</v>
      </c>
      <c r="N665" s="43">
        <f t="shared" si="289"/>
        <v>0</v>
      </c>
      <c r="O665" s="31">
        <v>509</v>
      </c>
      <c r="P665" s="31">
        <v>509</v>
      </c>
      <c r="Q665" s="31">
        <v>509</v>
      </c>
      <c r="R665" s="472">
        <f t="shared" ref="R665:R728" si="296">H665-O665</f>
        <v>0</v>
      </c>
      <c r="S665" s="472">
        <f t="shared" ref="S665:S728" si="297">I665-P665</f>
        <v>0</v>
      </c>
      <c r="T665" s="472">
        <f t="shared" ref="T665:T728" si="298">J665-Q665</f>
        <v>0</v>
      </c>
      <c r="U665" s="28" t="s">
        <v>123</v>
      </c>
      <c r="V665" s="29" t="s">
        <v>95</v>
      </c>
      <c r="W665" s="30" t="s">
        <v>82</v>
      </c>
      <c r="X665" s="30" t="s">
        <v>83</v>
      </c>
      <c r="Y665" s="30" t="s">
        <v>223</v>
      </c>
      <c r="Z665" s="30" t="s">
        <v>90</v>
      </c>
      <c r="AA665" s="12" t="b">
        <f t="shared" si="276"/>
        <v>1</v>
      </c>
      <c r="AB665" s="12" t="b">
        <f t="shared" si="277"/>
        <v>1</v>
      </c>
      <c r="AC665" s="12" t="b">
        <f t="shared" si="278"/>
        <v>1</v>
      </c>
      <c r="AD665" s="12" t="b">
        <f t="shared" si="279"/>
        <v>1</v>
      </c>
      <c r="AE665" s="12" t="b">
        <f t="shared" si="280"/>
        <v>1</v>
      </c>
      <c r="AF665" s="12" t="b">
        <f t="shared" si="281"/>
        <v>1</v>
      </c>
    </row>
    <row r="666" spans="1:34" s="172" customFormat="1" ht="15.75" customHeight="1">
      <c r="A666" s="282"/>
      <c r="B666" s="32" t="s">
        <v>35</v>
      </c>
      <c r="C666" s="33" t="s">
        <v>95</v>
      </c>
      <c r="D666" s="34" t="s">
        <v>82</v>
      </c>
      <c r="E666" s="34" t="s">
        <v>98</v>
      </c>
      <c r="F666" s="34" t="s">
        <v>223</v>
      </c>
      <c r="G666" s="34" t="s">
        <v>90</v>
      </c>
      <c r="H666" s="35">
        <f t="shared" si="295"/>
        <v>509</v>
      </c>
      <c r="I666" s="35">
        <f t="shared" si="295"/>
        <v>509</v>
      </c>
      <c r="J666" s="35">
        <f t="shared" si="295"/>
        <v>509</v>
      </c>
      <c r="K666" s="35">
        <v>509</v>
      </c>
      <c r="L666" s="35">
        <v>509</v>
      </c>
      <c r="M666" s="35">
        <v>509</v>
      </c>
      <c r="N666" s="43">
        <f t="shared" si="289"/>
        <v>0</v>
      </c>
      <c r="O666" s="35">
        <v>509</v>
      </c>
      <c r="P666" s="35">
        <v>509</v>
      </c>
      <c r="Q666" s="35">
        <v>509</v>
      </c>
      <c r="R666" s="472">
        <f t="shared" si="296"/>
        <v>0</v>
      </c>
      <c r="S666" s="472">
        <f t="shared" si="297"/>
        <v>0</v>
      </c>
      <c r="T666" s="472">
        <f t="shared" si="298"/>
        <v>0</v>
      </c>
      <c r="U666" s="32" t="s">
        <v>35</v>
      </c>
      <c r="V666" s="33" t="s">
        <v>95</v>
      </c>
      <c r="W666" s="34" t="s">
        <v>82</v>
      </c>
      <c r="X666" s="34" t="s">
        <v>98</v>
      </c>
      <c r="Y666" s="34" t="s">
        <v>223</v>
      </c>
      <c r="Z666" s="34" t="s">
        <v>90</v>
      </c>
      <c r="AA666" s="12" t="b">
        <f t="shared" si="276"/>
        <v>1</v>
      </c>
      <c r="AB666" s="12" t="b">
        <f t="shared" si="277"/>
        <v>1</v>
      </c>
      <c r="AC666" s="12" t="b">
        <f t="shared" si="278"/>
        <v>1</v>
      </c>
      <c r="AD666" s="12" t="b">
        <f t="shared" si="279"/>
        <v>1</v>
      </c>
      <c r="AE666" s="12" t="b">
        <f t="shared" si="280"/>
        <v>1</v>
      </c>
      <c r="AF666" s="12" t="b">
        <f t="shared" si="281"/>
        <v>1</v>
      </c>
    </row>
    <row r="667" spans="1:34" s="172" customFormat="1" ht="15.75" customHeight="1">
      <c r="A667" s="282"/>
      <c r="B667" s="182" t="s">
        <v>656</v>
      </c>
      <c r="C667" s="36" t="s">
        <v>95</v>
      </c>
      <c r="D667" s="37" t="s">
        <v>82</v>
      </c>
      <c r="E667" s="37" t="s">
        <v>98</v>
      </c>
      <c r="F667" s="57" t="s">
        <v>279</v>
      </c>
      <c r="G667" s="37" t="s">
        <v>90</v>
      </c>
      <c r="H667" s="183">
        <f t="shared" si="295"/>
        <v>509</v>
      </c>
      <c r="I667" s="183">
        <f t="shared" si="295"/>
        <v>509</v>
      </c>
      <c r="J667" s="183">
        <f t="shared" si="295"/>
        <v>509</v>
      </c>
      <c r="K667" s="183">
        <v>509</v>
      </c>
      <c r="L667" s="183">
        <v>509</v>
      </c>
      <c r="M667" s="183">
        <v>509</v>
      </c>
      <c r="N667" s="43">
        <f t="shared" si="289"/>
        <v>0</v>
      </c>
      <c r="O667" s="183">
        <v>509</v>
      </c>
      <c r="P667" s="183">
        <v>509</v>
      </c>
      <c r="Q667" s="183">
        <v>509</v>
      </c>
      <c r="R667" s="472">
        <f t="shared" si="296"/>
        <v>0</v>
      </c>
      <c r="S667" s="472">
        <f t="shared" si="297"/>
        <v>0</v>
      </c>
      <c r="T667" s="472">
        <f t="shared" si="298"/>
        <v>0</v>
      </c>
      <c r="U667" s="182" t="s">
        <v>656</v>
      </c>
      <c r="V667" s="36" t="s">
        <v>95</v>
      </c>
      <c r="W667" s="37" t="s">
        <v>82</v>
      </c>
      <c r="X667" s="37" t="s">
        <v>98</v>
      </c>
      <c r="Y667" s="57" t="s">
        <v>279</v>
      </c>
      <c r="Z667" s="37" t="s">
        <v>90</v>
      </c>
      <c r="AA667" s="12" t="b">
        <f t="shared" si="276"/>
        <v>1</v>
      </c>
      <c r="AB667" s="12" t="b">
        <f t="shared" si="277"/>
        <v>1</v>
      </c>
      <c r="AC667" s="12" t="b">
        <f t="shared" si="278"/>
        <v>1</v>
      </c>
      <c r="AD667" s="12" t="b">
        <f t="shared" si="279"/>
        <v>1</v>
      </c>
      <c r="AE667" s="12" t="b">
        <f t="shared" si="280"/>
        <v>1</v>
      </c>
      <c r="AF667" s="12" t="b">
        <f t="shared" si="281"/>
        <v>1</v>
      </c>
    </row>
    <row r="668" spans="1:34" s="172" customFormat="1" ht="15.75" customHeight="1">
      <c r="A668" s="282"/>
      <c r="B668" s="182" t="s">
        <v>219</v>
      </c>
      <c r="C668" s="36" t="s">
        <v>95</v>
      </c>
      <c r="D668" s="37" t="s">
        <v>82</v>
      </c>
      <c r="E668" s="37" t="s">
        <v>98</v>
      </c>
      <c r="F668" s="57" t="s">
        <v>280</v>
      </c>
      <c r="G668" s="37" t="s">
        <v>90</v>
      </c>
      <c r="H668" s="183">
        <f t="shared" si="295"/>
        <v>509</v>
      </c>
      <c r="I668" s="183">
        <f t="shared" si="295"/>
        <v>509</v>
      </c>
      <c r="J668" s="183">
        <f t="shared" si="295"/>
        <v>509</v>
      </c>
      <c r="K668" s="183">
        <v>509</v>
      </c>
      <c r="L668" s="183">
        <v>509</v>
      </c>
      <c r="M668" s="183">
        <v>509</v>
      </c>
      <c r="N668" s="43">
        <f t="shared" si="289"/>
        <v>0</v>
      </c>
      <c r="O668" s="183">
        <v>509</v>
      </c>
      <c r="P668" s="183">
        <v>509</v>
      </c>
      <c r="Q668" s="183">
        <v>509</v>
      </c>
      <c r="R668" s="472">
        <f t="shared" si="296"/>
        <v>0</v>
      </c>
      <c r="S668" s="472">
        <f t="shared" si="297"/>
        <v>0</v>
      </c>
      <c r="T668" s="472">
        <f t="shared" si="298"/>
        <v>0</v>
      </c>
      <c r="U668" s="182" t="s">
        <v>219</v>
      </c>
      <c r="V668" s="36" t="s">
        <v>95</v>
      </c>
      <c r="W668" s="37" t="s">
        <v>82</v>
      </c>
      <c r="X668" s="37" t="s">
        <v>98</v>
      </c>
      <c r="Y668" s="57" t="s">
        <v>280</v>
      </c>
      <c r="Z668" s="37" t="s">
        <v>90</v>
      </c>
      <c r="AA668" s="12" t="b">
        <f t="shared" si="276"/>
        <v>1</v>
      </c>
      <c r="AB668" s="12" t="b">
        <f t="shared" si="277"/>
        <v>1</v>
      </c>
      <c r="AC668" s="12" t="b">
        <f t="shared" si="278"/>
        <v>1</v>
      </c>
      <c r="AD668" s="12" t="b">
        <f t="shared" si="279"/>
        <v>1</v>
      </c>
      <c r="AE668" s="12" t="b">
        <f t="shared" si="280"/>
        <v>1</v>
      </c>
      <c r="AF668" s="12" t="b">
        <f t="shared" si="281"/>
        <v>1</v>
      </c>
    </row>
    <row r="669" spans="1:34" s="172" customFormat="1" ht="15.75" customHeight="1">
      <c r="A669" s="282"/>
      <c r="B669" s="182" t="s">
        <v>523</v>
      </c>
      <c r="C669" s="36" t="s">
        <v>95</v>
      </c>
      <c r="D669" s="37" t="s">
        <v>82</v>
      </c>
      <c r="E669" s="37" t="s">
        <v>98</v>
      </c>
      <c r="F669" s="57" t="s">
        <v>281</v>
      </c>
      <c r="G669" s="37" t="s">
        <v>90</v>
      </c>
      <c r="H669" s="183">
        <f t="shared" si="295"/>
        <v>509</v>
      </c>
      <c r="I669" s="183">
        <f t="shared" si="295"/>
        <v>509</v>
      </c>
      <c r="J669" s="183">
        <f t="shared" si="295"/>
        <v>509</v>
      </c>
      <c r="K669" s="183">
        <v>509</v>
      </c>
      <c r="L669" s="183">
        <v>509</v>
      </c>
      <c r="M669" s="183">
        <v>509</v>
      </c>
      <c r="N669" s="43">
        <f t="shared" si="289"/>
        <v>0</v>
      </c>
      <c r="O669" s="183">
        <v>509</v>
      </c>
      <c r="P669" s="183">
        <v>509</v>
      </c>
      <c r="Q669" s="183">
        <v>509</v>
      </c>
      <c r="R669" s="472">
        <f t="shared" si="296"/>
        <v>0</v>
      </c>
      <c r="S669" s="472">
        <f t="shared" si="297"/>
        <v>0</v>
      </c>
      <c r="T669" s="472">
        <f t="shared" si="298"/>
        <v>0</v>
      </c>
      <c r="U669" s="182" t="s">
        <v>523</v>
      </c>
      <c r="V669" s="36" t="s">
        <v>95</v>
      </c>
      <c r="W669" s="37" t="s">
        <v>82</v>
      </c>
      <c r="X669" s="37" t="s">
        <v>98</v>
      </c>
      <c r="Y669" s="57" t="s">
        <v>281</v>
      </c>
      <c r="Z669" s="37" t="s">
        <v>90</v>
      </c>
      <c r="AA669" s="12" t="b">
        <f t="shared" si="276"/>
        <v>1</v>
      </c>
      <c r="AB669" s="12" t="b">
        <f t="shared" si="277"/>
        <v>1</v>
      </c>
      <c r="AC669" s="12" t="b">
        <f t="shared" si="278"/>
        <v>1</v>
      </c>
      <c r="AD669" s="12" t="b">
        <f t="shared" si="279"/>
        <v>1</v>
      </c>
      <c r="AE669" s="12" t="b">
        <f t="shared" si="280"/>
        <v>1</v>
      </c>
      <c r="AF669" s="12" t="b">
        <f t="shared" si="281"/>
        <v>1</v>
      </c>
    </row>
    <row r="670" spans="1:34" s="172" customFormat="1" ht="15.75" customHeight="1">
      <c r="A670" s="282"/>
      <c r="B670" s="182" t="s">
        <v>189</v>
      </c>
      <c r="C670" s="36" t="s">
        <v>95</v>
      </c>
      <c r="D670" s="37" t="s">
        <v>82</v>
      </c>
      <c r="E670" s="37" t="s">
        <v>98</v>
      </c>
      <c r="F670" s="57" t="s">
        <v>307</v>
      </c>
      <c r="G670" s="37" t="s">
        <v>90</v>
      </c>
      <c r="H670" s="183">
        <f t="shared" si="295"/>
        <v>509</v>
      </c>
      <c r="I670" s="183">
        <f t="shared" si="295"/>
        <v>509</v>
      </c>
      <c r="J670" s="183">
        <f t="shared" si="295"/>
        <v>509</v>
      </c>
      <c r="K670" s="183">
        <v>509</v>
      </c>
      <c r="L670" s="183">
        <v>509</v>
      </c>
      <c r="M670" s="183">
        <v>509</v>
      </c>
      <c r="N670" s="43">
        <f t="shared" si="289"/>
        <v>0</v>
      </c>
      <c r="O670" s="183">
        <v>509</v>
      </c>
      <c r="P670" s="183">
        <v>509</v>
      </c>
      <c r="Q670" s="183">
        <v>509</v>
      </c>
      <c r="R670" s="472">
        <f t="shared" si="296"/>
        <v>0</v>
      </c>
      <c r="S670" s="472">
        <f t="shared" si="297"/>
        <v>0</v>
      </c>
      <c r="T670" s="472">
        <f t="shared" si="298"/>
        <v>0</v>
      </c>
      <c r="U670" s="182" t="s">
        <v>189</v>
      </c>
      <c r="V670" s="36" t="s">
        <v>95</v>
      </c>
      <c r="W670" s="37" t="s">
        <v>82</v>
      </c>
      <c r="X670" s="37" t="s">
        <v>98</v>
      </c>
      <c r="Y670" s="57" t="s">
        <v>307</v>
      </c>
      <c r="Z670" s="37" t="s">
        <v>90</v>
      </c>
      <c r="AA670" s="12" t="b">
        <f t="shared" si="276"/>
        <v>1</v>
      </c>
      <c r="AB670" s="12" t="b">
        <f t="shared" si="277"/>
        <v>1</v>
      </c>
      <c r="AC670" s="12" t="b">
        <f t="shared" si="278"/>
        <v>1</v>
      </c>
      <c r="AD670" s="12" t="b">
        <f t="shared" si="279"/>
        <v>1</v>
      </c>
      <c r="AE670" s="12" t="b">
        <f t="shared" si="280"/>
        <v>1</v>
      </c>
      <c r="AF670" s="12" t="b">
        <f t="shared" si="281"/>
        <v>1</v>
      </c>
    </row>
    <row r="671" spans="1:34" s="172" customFormat="1" ht="15.75" customHeight="1">
      <c r="A671" s="282"/>
      <c r="B671" s="182" t="s">
        <v>145</v>
      </c>
      <c r="C671" s="36" t="s">
        <v>95</v>
      </c>
      <c r="D671" s="37" t="s">
        <v>82</v>
      </c>
      <c r="E671" s="37" t="s">
        <v>98</v>
      </c>
      <c r="F671" s="37" t="s">
        <v>307</v>
      </c>
      <c r="G671" s="37" t="s">
        <v>153</v>
      </c>
      <c r="H671" s="183">
        <f>1004-495</f>
        <v>509</v>
      </c>
      <c r="I671" s="183">
        <f>1004-495</f>
        <v>509</v>
      </c>
      <c r="J671" s="183">
        <f>1004-495</f>
        <v>509</v>
      </c>
      <c r="K671" s="183">
        <v>509</v>
      </c>
      <c r="L671" s="183">
        <v>509</v>
      </c>
      <c r="M671" s="183">
        <v>509</v>
      </c>
      <c r="N671" s="43">
        <f t="shared" si="289"/>
        <v>0</v>
      </c>
      <c r="O671" s="183">
        <v>509</v>
      </c>
      <c r="P671" s="183">
        <v>509</v>
      </c>
      <c r="Q671" s="183">
        <v>509</v>
      </c>
      <c r="R671" s="472">
        <f t="shared" si="296"/>
        <v>0</v>
      </c>
      <c r="S671" s="472">
        <f t="shared" si="297"/>
        <v>0</v>
      </c>
      <c r="T671" s="472">
        <f t="shared" si="298"/>
        <v>0</v>
      </c>
      <c r="U671" s="182" t="s">
        <v>145</v>
      </c>
      <c r="V671" s="36" t="s">
        <v>95</v>
      </c>
      <c r="W671" s="37" t="s">
        <v>82</v>
      </c>
      <c r="X671" s="37" t="s">
        <v>98</v>
      </c>
      <c r="Y671" s="37" t="s">
        <v>307</v>
      </c>
      <c r="Z671" s="37" t="s">
        <v>153</v>
      </c>
      <c r="AA671" s="12" t="b">
        <f t="shared" si="276"/>
        <v>1</v>
      </c>
      <c r="AB671" s="12" t="b">
        <f t="shared" si="277"/>
        <v>1</v>
      </c>
      <c r="AC671" s="12" t="b">
        <f t="shared" si="278"/>
        <v>1</v>
      </c>
      <c r="AD671" s="12" t="b">
        <f t="shared" si="279"/>
        <v>1</v>
      </c>
      <c r="AE671" s="12" t="b">
        <f t="shared" si="280"/>
        <v>1</v>
      </c>
      <c r="AF671" s="12" t="b">
        <f t="shared" si="281"/>
        <v>1</v>
      </c>
    </row>
    <row r="672" spans="1:34" s="44" customFormat="1" ht="15.75" customHeight="1">
      <c r="A672" s="285"/>
      <c r="B672" s="28" t="s">
        <v>81</v>
      </c>
      <c r="C672" s="29" t="s">
        <v>95</v>
      </c>
      <c r="D672" s="30" t="s">
        <v>13</v>
      </c>
      <c r="E672" s="30" t="s">
        <v>83</v>
      </c>
      <c r="F672" s="30" t="s">
        <v>223</v>
      </c>
      <c r="G672" s="30" t="s">
        <v>90</v>
      </c>
      <c r="H672" s="31">
        <f>H673+H764+H784</f>
        <v>2907584.09</v>
      </c>
      <c r="I672" s="31">
        <f>I673+I764+I784</f>
        <v>2290426.9099999997</v>
      </c>
      <c r="J672" s="31">
        <f>J673+J764+J784</f>
        <v>2236786.1500000004</v>
      </c>
      <c r="K672" s="31">
        <v>2777805.5800000005</v>
      </c>
      <c r="L672" s="31">
        <v>2285882.59</v>
      </c>
      <c r="M672" s="31">
        <v>2245359.79</v>
      </c>
      <c r="N672" s="43">
        <f t="shared" si="289"/>
        <v>-129778.50999999931</v>
      </c>
      <c r="O672" s="31">
        <v>2777805.5800000005</v>
      </c>
      <c r="P672" s="31">
        <v>2285882.59</v>
      </c>
      <c r="Q672" s="31">
        <v>2245359.79</v>
      </c>
      <c r="R672" s="472">
        <f t="shared" si="296"/>
        <v>129778.50999999931</v>
      </c>
      <c r="S672" s="472">
        <f t="shared" si="297"/>
        <v>4544.3199999998324</v>
      </c>
      <c r="T672" s="472">
        <f t="shared" si="298"/>
        <v>-8573.6399999996647</v>
      </c>
      <c r="U672" s="28" t="s">
        <v>81</v>
      </c>
      <c r="V672" s="29" t="s">
        <v>95</v>
      </c>
      <c r="W672" s="30" t="s">
        <v>13</v>
      </c>
      <c r="X672" s="30" t="s">
        <v>83</v>
      </c>
      <c r="Y672" s="30" t="s">
        <v>223</v>
      </c>
      <c r="Z672" s="30" t="s">
        <v>90</v>
      </c>
      <c r="AA672" s="12" t="b">
        <f t="shared" si="276"/>
        <v>1</v>
      </c>
      <c r="AB672" s="12" t="b">
        <f t="shared" si="277"/>
        <v>1</v>
      </c>
      <c r="AC672" s="12" t="b">
        <f t="shared" si="278"/>
        <v>1</v>
      </c>
      <c r="AD672" s="12" t="b">
        <f t="shared" si="279"/>
        <v>1</v>
      </c>
      <c r="AE672" s="12" t="b">
        <f t="shared" si="280"/>
        <v>1</v>
      </c>
      <c r="AF672" s="12" t="b">
        <f t="shared" si="281"/>
        <v>1</v>
      </c>
    </row>
    <row r="673" spans="1:32" s="44" customFormat="1" ht="15.75" customHeight="1">
      <c r="A673" s="285"/>
      <c r="B673" s="32" t="s">
        <v>96</v>
      </c>
      <c r="C673" s="33" t="s">
        <v>95</v>
      </c>
      <c r="D673" s="34" t="s">
        <v>13</v>
      </c>
      <c r="E673" s="34" t="s">
        <v>85</v>
      </c>
      <c r="F673" s="34" t="s">
        <v>223</v>
      </c>
      <c r="G673" s="34" t="s">
        <v>90</v>
      </c>
      <c r="H673" s="35">
        <f>H674</f>
        <v>1785120.99</v>
      </c>
      <c r="I673" s="35">
        <f>I674</f>
        <v>1756729.3699999999</v>
      </c>
      <c r="J673" s="35">
        <f>J674</f>
        <v>1767116.1500000001</v>
      </c>
      <c r="K673" s="35">
        <v>1701150.9100000004</v>
      </c>
      <c r="L673" s="35">
        <v>1711829.32</v>
      </c>
      <c r="M673" s="35">
        <v>1719198.3800000004</v>
      </c>
      <c r="N673" s="43">
        <f t="shared" si="289"/>
        <v>-83970.079999999609</v>
      </c>
      <c r="O673" s="35">
        <v>1701150.9100000004</v>
      </c>
      <c r="P673" s="35">
        <v>1711829.32</v>
      </c>
      <c r="Q673" s="35">
        <v>1719198.3800000004</v>
      </c>
      <c r="R673" s="472">
        <f t="shared" si="296"/>
        <v>83970.079999999609</v>
      </c>
      <c r="S673" s="472">
        <f t="shared" si="297"/>
        <v>44900.049999999814</v>
      </c>
      <c r="T673" s="472">
        <f t="shared" si="298"/>
        <v>47917.769999999786</v>
      </c>
      <c r="U673" s="32" t="s">
        <v>96</v>
      </c>
      <c r="V673" s="33" t="s">
        <v>95</v>
      </c>
      <c r="W673" s="34" t="s">
        <v>13</v>
      </c>
      <c r="X673" s="34" t="s">
        <v>85</v>
      </c>
      <c r="Y673" s="34" t="s">
        <v>223</v>
      </c>
      <c r="Z673" s="34" t="s">
        <v>90</v>
      </c>
      <c r="AA673" s="12" t="b">
        <f t="shared" si="276"/>
        <v>1</v>
      </c>
      <c r="AB673" s="12" t="b">
        <f t="shared" si="277"/>
        <v>1</v>
      </c>
      <c r="AC673" s="12" t="b">
        <f t="shared" si="278"/>
        <v>1</v>
      </c>
      <c r="AD673" s="12" t="b">
        <f t="shared" si="279"/>
        <v>1</v>
      </c>
      <c r="AE673" s="12" t="b">
        <f t="shared" si="280"/>
        <v>1</v>
      </c>
      <c r="AF673" s="12" t="b">
        <f t="shared" si="281"/>
        <v>1</v>
      </c>
    </row>
    <row r="674" spans="1:32" s="44" customFormat="1" ht="15.75" customHeight="1">
      <c r="A674" s="285"/>
      <c r="B674" s="47" t="s">
        <v>650</v>
      </c>
      <c r="C674" s="36" t="s">
        <v>95</v>
      </c>
      <c r="D674" s="37" t="s">
        <v>13</v>
      </c>
      <c r="E674" s="37" t="s">
        <v>85</v>
      </c>
      <c r="F674" s="37" t="s">
        <v>313</v>
      </c>
      <c r="G674" s="37" t="s">
        <v>90</v>
      </c>
      <c r="H674" s="183">
        <f>H675+H720+H760</f>
        <v>1785120.99</v>
      </c>
      <c r="I674" s="183">
        <f>I675+I720+I760</f>
        <v>1756729.3699999999</v>
      </c>
      <c r="J674" s="183">
        <f>J675+J720+J760</f>
        <v>1767116.1500000001</v>
      </c>
      <c r="K674" s="183">
        <v>1701150.9100000004</v>
      </c>
      <c r="L674" s="183">
        <v>1711829.32</v>
      </c>
      <c r="M674" s="183">
        <v>1719198.3800000004</v>
      </c>
      <c r="N674" s="43">
        <f t="shared" si="289"/>
        <v>-83970.079999999609</v>
      </c>
      <c r="O674" s="183">
        <v>1701150.9100000004</v>
      </c>
      <c r="P674" s="183">
        <v>1711829.32</v>
      </c>
      <c r="Q674" s="183">
        <v>1719198.3800000004</v>
      </c>
      <c r="R674" s="472">
        <f t="shared" si="296"/>
        <v>83970.079999999609</v>
      </c>
      <c r="S674" s="472">
        <f t="shared" si="297"/>
        <v>44900.049999999814</v>
      </c>
      <c r="T674" s="472">
        <f t="shared" si="298"/>
        <v>47917.769999999786</v>
      </c>
      <c r="U674" s="47" t="s">
        <v>650</v>
      </c>
      <c r="V674" s="36" t="s">
        <v>95</v>
      </c>
      <c r="W674" s="37" t="s">
        <v>13</v>
      </c>
      <c r="X674" s="37" t="s">
        <v>85</v>
      </c>
      <c r="Y674" s="37" t="s">
        <v>313</v>
      </c>
      <c r="Z674" s="37" t="s">
        <v>90</v>
      </c>
      <c r="AA674" s="12" t="b">
        <f t="shared" si="276"/>
        <v>1</v>
      </c>
      <c r="AB674" s="12" t="b">
        <f t="shared" si="277"/>
        <v>1</v>
      </c>
      <c r="AC674" s="12" t="b">
        <f t="shared" si="278"/>
        <v>1</v>
      </c>
      <c r="AD674" s="12" t="b">
        <f t="shared" si="279"/>
        <v>1</v>
      </c>
      <c r="AE674" s="12" t="b">
        <f t="shared" si="280"/>
        <v>1</v>
      </c>
      <c r="AF674" s="12" t="b">
        <f t="shared" si="281"/>
        <v>1</v>
      </c>
    </row>
    <row r="675" spans="1:32" s="44" customFormat="1" ht="15.75" customHeight="1">
      <c r="A675" s="285" t="s">
        <v>799</v>
      </c>
      <c r="B675" s="45" t="s">
        <v>651</v>
      </c>
      <c r="C675" s="36" t="s">
        <v>95</v>
      </c>
      <c r="D675" s="37" t="s">
        <v>13</v>
      </c>
      <c r="E675" s="37" t="s">
        <v>85</v>
      </c>
      <c r="F675" s="37" t="s">
        <v>366</v>
      </c>
      <c r="G675" s="37" t="s">
        <v>90</v>
      </c>
      <c r="H675" s="183">
        <f>H676+H716</f>
        <v>1727878.8699999999</v>
      </c>
      <c r="I675" s="183">
        <f>I676+I716</f>
        <v>1699681.47</v>
      </c>
      <c r="J675" s="183">
        <f>J676+J716</f>
        <v>1710068.2500000002</v>
      </c>
      <c r="K675" s="183">
        <v>1643908.7900000003</v>
      </c>
      <c r="L675" s="183">
        <v>1654781.4200000002</v>
      </c>
      <c r="M675" s="183">
        <v>1662150.4800000004</v>
      </c>
      <c r="N675" s="43">
        <f t="shared" si="289"/>
        <v>-83970.079999999609</v>
      </c>
      <c r="O675" s="183">
        <v>1643908.7900000003</v>
      </c>
      <c r="P675" s="183">
        <v>1654781.4200000002</v>
      </c>
      <c r="Q675" s="183">
        <v>1662150.4800000004</v>
      </c>
      <c r="R675" s="472">
        <f t="shared" si="296"/>
        <v>83970.079999999609</v>
      </c>
      <c r="S675" s="472">
        <f t="shared" si="297"/>
        <v>44900.049999999814</v>
      </c>
      <c r="T675" s="472">
        <f t="shared" si="298"/>
        <v>47917.769999999786</v>
      </c>
      <c r="U675" s="45" t="s">
        <v>651</v>
      </c>
      <c r="V675" s="36" t="s">
        <v>95</v>
      </c>
      <c r="W675" s="37" t="s">
        <v>13</v>
      </c>
      <c r="X675" s="37" t="s">
        <v>85</v>
      </c>
      <c r="Y675" s="37" t="s">
        <v>366</v>
      </c>
      <c r="Z675" s="37" t="s">
        <v>90</v>
      </c>
      <c r="AA675" s="12" t="b">
        <f t="shared" si="276"/>
        <v>1</v>
      </c>
      <c r="AB675" s="12" t="b">
        <f t="shared" si="277"/>
        <v>1</v>
      </c>
      <c r="AC675" s="12" t="b">
        <f t="shared" si="278"/>
        <v>1</v>
      </c>
      <c r="AD675" s="12" t="b">
        <f t="shared" si="279"/>
        <v>1</v>
      </c>
      <c r="AE675" s="12" t="b">
        <f t="shared" si="280"/>
        <v>1</v>
      </c>
      <c r="AF675" s="12" t="b">
        <f t="shared" si="281"/>
        <v>1</v>
      </c>
    </row>
    <row r="676" spans="1:32" s="44" customFormat="1" ht="15.75" customHeight="1">
      <c r="A676" s="285"/>
      <c r="B676" s="46" t="s">
        <v>367</v>
      </c>
      <c r="C676" s="36" t="s">
        <v>95</v>
      </c>
      <c r="D676" s="37" t="s">
        <v>13</v>
      </c>
      <c r="E676" s="37" t="s">
        <v>85</v>
      </c>
      <c r="F676" s="37" t="s">
        <v>368</v>
      </c>
      <c r="G676" s="37" t="s">
        <v>90</v>
      </c>
      <c r="H676" s="183">
        <f>H677+H680+H683+H691+H694+H697+H700+H703+H706+H685+H688+H712+H709+H714</f>
        <v>1727300.17</v>
      </c>
      <c r="I676" s="183">
        <f t="shared" ref="I676:J676" si="299">I677+I680+I683+I691+I694+I697+I700+I703+I706+I685+I688+I712+I709+I714</f>
        <v>1699111</v>
      </c>
      <c r="J676" s="183">
        <f t="shared" si="299"/>
        <v>1709474.9500000002</v>
      </c>
      <c r="K676" s="183">
        <v>1643360.2500000002</v>
      </c>
      <c r="L676" s="183">
        <v>1654210.9500000002</v>
      </c>
      <c r="M676" s="183">
        <v>1661557.1800000004</v>
      </c>
      <c r="N676" s="43">
        <f t="shared" si="289"/>
        <v>-83939.919999999693</v>
      </c>
      <c r="O676" s="183">
        <v>1643360.2500000002</v>
      </c>
      <c r="P676" s="183">
        <v>1654210.9500000002</v>
      </c>
      <c r="Q676" s="183">
        <v>1661557.1800000004</v>
      </c>
      <c r="R676" s="472">
        <f t="shared" si="296"/>
        <v>83939.919999999693</v>
      </c>
      <c r="S676" s="472">
        <f t="shared" si="297"/>
        <v>44900.049999999814</v>
      </c>
      <c r="T676" s="472">
        <f t="shared" si="298"/>
        <v>47917.769999999786</v>
      </c>
      <c r="U676" s="46" t="s">
        <v>367</v>
      </c>
      <c r="V676" s="36" t="s">
        <v>95</v>
      </c>
      <c r="W676" s="37" t="s">
        <v>13</v>
      </c>
      <c r="X676" s="37" t="s">
        <v>85</v>
      </c>
      <c r="Y676" s="37" t="s">
        <v>368</v>
      </c>
      <c r="Z676" s="37" t="s">
        <v>90</v>
      </c>
      <c r="AA676" s="12" t="b">
        <f t="shared" si="276"/>
        <v>1</v>
      </c>
      <c r="AB676" s="12" t="b">
        <f t="shared" si="277"/>
        <v>1</v>
      </c>
      <c r="AC676" s="12" t="b">
        <f t="shared" si="278"/>
        <v>1</v>
      </c>
      <c r="AD676" s="12" t="b">
        <f t="shared" si="279"/>
        <v>1</v>
      </c>
      <c r="AE676" s="12" t="b">
        <f t="shared" si="280"/>
        <v>1</v>
      </c>
      <c r="AF676" s="12" t="b">
        <f t="shared" si="281"/>
        <v>1</v>
      </c>
    </row>
    <row r="677" spans="1:32" s="44" customFormat="1" ht="15.75" customHeight="1">
      <c r="A677" s="285"/>
      <c r="B677" s="47" t="s">
        <v>851</v>
      </c>
      <c r="C677" s="36" t="s">
        <v>95</v>
      </c>
      <c r="D677" s="37" t="s">
        <v>13</v>
      </c>
      <c r="E677" s="37" t="s">
        <v>85</v>
      </c>
      <c r="F677" s="37" t="s">
        <v>369</v>
      </c>
      <c r="G677" s="37" t="s">
        <v>90</v>
      </c>
      <c r="H677" s="183">
        <f>H678+H679</f>
        <v>21017.440000000002</v>
      </c>
      <c r="I677" s="183">
        <f>I678+I679</f>
        <v>21858.13</v>
      </c>
      <c r="J677" s="183">
        <f>J678+J679</f>
        <v>22732.46</v>
      </c>
      <c r="K677" s="183">
        <v>21017.440000000002</v>
      </c>
      <c r="L677" s="183">
        <v>21858.13</v>
      </c>
      <c r="M677" s="183">
        <v>22732.46</v>
      </c>
      <c r="N677" s="43">
        <f t="shared" si="289"/>
        <v>0</v>
      </c>
      <c r="O677" s="183">
        <v>21017.440000000002</v>
      </c>
      <c r="P677" s="183">
        <v>21858.13</v>
      </c>
      <c r="Q677" s="183">
        <v>22732.46</v>
      </c>
      <c r="R677" s="472">
        <f t="shared" si="296"/>
        <v>0</v>
      </c>
      <c r="S677" s="472">
        <f t="shared" si="297"/>
        <v>0</v>
      </c>
      <c r="T677" s="472">
        <f t="shared" si="298"/>
        <v>0</v>
      </c>
      <c r="U677" s="47" t="s">
        <v>851</v>
      </c>
      <c r="V677" s="36" t="s">
        <v>95</v>
      </c>
      <c r="W677" s="37" t="s">
        <v>13</v>
      </c>
      <c r="X677" s="37" t="s">
        <v>85</v>
      </c>
      <c r="Y677" s="37" t="s">
        <v>369</v>
      </c>
      <c r="Z677" s="37" t="s">
        <v>90</v>
      </c>
      <c r="AA677" s="12" t="b">
        <f t="shared" si="276"/>
        <v>1</v>
      </c>
      <c r="AB677" s="12" t="b">
        <f t="shared" si="277"/>
        <v>1</v>
      </c>
      <c r="AC677" s="12" t="b">
        <f t="shared" si="278"/>
        <v>1</v>
      </c>
      <c r="AD677" s="12" t="b">
        <f t="shared" si="279"/>
        <v>1</v>
      </c>
      <c r="AE677" s="12" t="b">
        <f t="shared" si="280"/>
        <v>1</v>
      </c>
      <c r="AF677" s="12" t="b">
        <f t="shared" si="281"/>
        <v>1</v>
      </c>
    </row>
    <row r="678" spans="1:32" s="44" customFormat="1" ht="15.75" customHeight="1">
      <c r="A678" s="285"/>
      <c r="B678" s="182" t="s">
        <v>145</v>
      </c>
      <c r="C678" s="36" t="s">
        <v>95</v>
      </c>
      <c r="D678" s="37" t="s">
        <v>13</v>
      </c>
      <c r="E678" s="37" t="s">
        <v>85</v>
      </c>
      <c r="F678" s="37" t="s">
        <v>369</v>
      </c>
      <c r="G678" s="37" t="s">
        <v>153</v>
      </c>
      <c r="H678" s="183">
        <v>306.63</v>
      </c>
      <c r="I678" s="183">
        <v>322.13</v>
      </c>
      <c r="J678" s="183">
        <v>335.46</v>
      </c>
      <c r="K678" s="183">
        <v>306.63</v>
      </c>
      <c r="L678" s="183">
        <v>322.13</v>
      </c>
      <c r="M678" s="183">
        <v>335.46</v>
      </c>
      <c r="N678" s="43">
        <f t="shared" si="289"/>
        <v>0</v>
      </c>
      <c r="O678" s="183">
        <v>306.63</v>
      </c>
      <c r="P678" s="183">
        <v>322.13</v>
      </c>
      <c r="Q678" s="183">
        <v>335.46</v>
      </c>
      <c r="R678" s="472">
        <f t="shared" si="296"/>
        <v>0</v>
      </c>
      <c r="S678" s="472">
        <f t="shared" si="297"/>
        <v>0</v>
      </c>
      <c r="T678" s="472">
        <f t="shared" si="298"/>
        <v>0</v>
      </c>
      <c r="U678" s="182" t="s">
        <v>145</v>
      </c>
      <c r="V678" s="36" t="s">
        <v>95</v>
      </c>
      <c r="W678" s="37" t="s">
        <v>13</v>
      </c>
      <c r="X678" s="37" t="s">
        <v>85</v>
      </c>
      <c r="Y678" s="37" t="s">
        <v>369</v>
      </c>
      <c r="Z678" s="37" t="s">
        <v>153</v>
      </c>
      <c r="AA678" s="12" t="b">
        <f t="shared" si="276"/>
        <v>1</v>
      </c>
      <c r="AB678" s="12" t="b">
        <f t="shared" si="277"/>
        <v>1</v>
      </c>
      <c r="AC678" s="12" t="b">
        <f t="shared" si="278"/>
        <v>1</v>
      </c>
      <c r="AD678" s="12" t="b">
        <f t="shared" si="279"/>
        <v>1</v>
      </c>
      <c r="AE678" s="12" t="b">
        <f t="shared" si="280"/>
        <v>1</v>
      </c>
      <c r="AF678" s="12" t="b">
        <f t="shared" si="281"/>
        <v>1</v>
      </c>
    </row>
    <row r="679" spans="1:32" s="44" customFormat="1" ht="15.75" customHeight="1">
      <c r="A679" s="285"/>
      <c r="B679" s="23" t="s">
        <v>146</v>
      </c>
      <c r="C679" s="36" t="s">
        <v>95</v>
      </c>
      <c r="D679" s="37" t="s">
        <v>13</v>
      </c>
      <c r="E679" s="37" t="s">
        <v>85</v>
      </c>
      <c r="F679" s="37" t="s">
        <v>369</v>
      </c>
      <c r="G679" s="37" t="s">
        <v>169</v>
      </c>
      <c r="H679" s="183">
        <v>20710.810000000001</v>
      </c>
      <c r="I679" s="183">
        <v>21536</v>
      </c>
      <c r="J679" s="183">
        <v>22397</v>
      </c>
      <c r="K679" s="183">
        <v>20710.810000000001</v>
      </c>
      <c r="L679" s="183">
        <v>21536</v>
      </c>
      <c r="M679" s="183">
        <v>22397</v>
      </c>
      <c r="N679" s="43">
        <f t="shared" si="289"/>
        <v>0</v>
      </c>
      <c r="O679" s="183">
        <v>20710.810000000001</v>
      </c>
      <c r="P679" s="183">
        <v>21536</v>
      </c>
      <c r="Q679" s="183">
        <v>22397</v>
      </c>
      <c r="R679" s="472">
        <f t="shared" si="296"/>
        <v>0</v>
      </c>
      <c r="S679" s="472">
        <f t="shared" si="297"/>
        <v>0</v>
      </c>
      <c r="T679" s="472">
        <f t="shared" si="298"/>
        <v>0</v>
      </c>
      <c r="U679" s="23" t="s">
        <v>146</v>
      </c>
      <c r="V679" s="36" t="s">
        <v>95</v>
      </c>
      <c r="W679" s="37" t="s">
        <v>13</v>
      </c>
      <c r="X679" s="37" t="s">
        <v>85</v>
      </c>
      <c r="Y679" s="37" t="s">
        <v>369</v>
      </c>
      <c r="Z679" s="37" t="s">
        <v>169</v>
      </c>
      <c r="AA679" s="12" t="b">
        <f t="shared" si="276"/>
        <v>1</v>
      </c>
      <c r="AB679" s="12" t="b">
        <f t="shared" si="277"/>
        <v>1</v>
      </c>
      <c r="AC679" s="12" t="b">
        <f t="shared" si="278"/>
        <v>1</v>
      </c>
      <c r="AD679" s="12" t="b">
        <f t="shared" si="279"/>
        <v>1</v>
      </c>
      <c r="AE679" s="12" t="b">
        <f t="shared" si="280"/>
        <v>1</v>
      </c>
      <c r="AF679" s="12" t="b">
        <f t="shared" si="281"/>
        <v>1</v>
      </c>
    </row>
    <row r="680" spans="1:32" s="44" customFormat="1" ht="15.75" customHeight="1">
      <c r="A680" s="285"/>
      <c r="B680" s="23" t="s">
        <v>1086</v>
      </c>
      <c r="C680" s="36" t="s">
        <v>95</v>
      </c>
      <c r="D680" s="37" t="s">
        <v>13</v>
      </c>
      <c r="E680" s="37" t="s">
        <v>85</v>
      </c>
      <c r="F680" s="37" t="s">
        <v>370</v>
      </c>
      <c r="G680" s="37" t="s">
        <v>90</v>
      </c>
      <c r="H680" s="183">
        <f>H681+H682</f>
        <v>390926.94</v>
      </c>
      <c r="I680" s="183">
        <f>I681+I682</f>
        <v>390932.47</v>
      </c>
      <c r="J680" s="183">
        <f>J681+J682</f>
        <v>390884.02</v>
      </c>
      <c r="K680" s="183">
        <v>390926.94</v>
      </c>
      <c r="L680" s="183">
        <v>390932.47</v>
      </c>
      <c r="M680" s="183">
        <v>390884.01</v>
      </c>
      <c r="N680" s="43">
        <f t="shared" si="289"/>
        <v>0</v>
      </c>
      <c r="O680" s="183">
        <v>390926.94</v>
      </c>
      <c r="P680" s="183">
        <v>390932.47</v>
      </c>
      <c r="Q680" s="183">
        <v>390884.01</v>
      </c>
      <c r="R680" s="472">
        <f t="shared" si="296"/>
        <v>0</v>
      </c>
      <c r="S680" s="472">
        <f t="shared" si="297"/>
        <v>0</v>
      </c>
      <c r="T680" s="472">
        <f t="shared" si="298"/>
        <v>1.0000000009313226E-2</v>
      </c>
      <c r="U680" s="23" t="s">
        <v>1086</v>
      </c>
      <c r="V680" s="36" t="s">
        <v>95</v>
      </c>
      <c r="W680" s="37" t="s">
        <v>13</v>
      </c>
      <c r="X680" s="37" t="s">
        <v>85</v>
      </c>
      <c r="Y680" s="37" t="s">
        <v>370</v>
      </c>
      <c r="Z680" s="37" t="s">
        <v>90</v>
      </c>
      <c r="AA680" s="12" t="b">
        <f t="shared" si="276"/>
        <v>1</v>
      </c>
      <c r="AB680" s="12" t="b">
        <f t="shared" si="277"/>
        <v>1</v>
      </c>
      <c r="AC680" s="12" t="b">
        <f t="shared" si="278"/>
        <v>1</v>
      </c>
      <c r="AD680" s="12" t="b">
        <f t="shared" si="279"/>
        <v>1</v>
      </c>
      <c r="AE680" s="12" t="b">
        <f t="shared" si="280"/>
        <v>1</v>
      </c>
      <c r="AF680" s="12" t="b">
        <f t="shared" si="281"/>
        <v>1</v>
      </c>
    </row>
    <row r="681" spans="1:32" s="44" customFormat="1" ht="15.75" customHeight="1">
      <c r="A681" s="285"/>
      <c r="B681" s="182" t="s">
        <v>145</v>
      </c>
      <c r="C681" s="36" t="s">
        <v>95</v>
      </c>
      <c r="D681" s="37" t="s">
        <v>13</v>
      </c>
      <c r="E681" s="37" t="s">
        <v>85</v>
      </c>
      <c r="F681" s="37" t="s">
        <v>370</v>
      </c>
      <c r="G681" s="37" t="s">
        <v>153</v>
      </c>
      <c r="H681" s="183">
        <v>3176.94</v>
      </c>
      <c r="I681" s="183">
        <v>3268.47</v>
      </c>
      <c r="J681" s="183">
        <v>3264.01</v>
      </c>
      <c r="K681" s="183">
        <v>3176.94</v>
      </c>
      <c r="L681" s="183">
        <v>3268.47</v>
      </c>
      <c r="M681" s="183">
        <v>3264.01</v>
      </c>
      <c r="N681" s="43">
        <f t="shared" si="289"/>
        <v>0</v>
      </c>
      <c r="O681" s="183">
        <v>3176.94</v>
      </c>
      <c r="P681" s="183">
        <v>3268.47</v>
      </c>
      <c r="Q681" s="183">
        <v>3264.01</v>
      </c>
      <c r="R681" s="472">
        <f t="shared" si="296"/>
        <v>0</v>
      </c>
      <c r="S681" s="472">
        <f t="shared" si="297"/>
        <v>0</v>
      </c>
      <c r="T681" s="472">
        <f t="shared" si="298"/>
        <v>0</v>
      </c>
      <c r="U681" s="182" t="s">
        <v>145</v>
      </c>
      <c r="V681" s="36" t="s">
        <v>95</v>
      </c>
      <c r="W681" s="37" t="s">
        <v>13</v>
      </c>
      <c r="X681" s="37" t="s">
        <v>85</v>
      </c>
      <c r="Y681" s="37" t="s">
        <v>370</v>
      </c>
      <c r="Z681" s="37" t="s">
        <v>153</v>
      </c>
      <c r="AA681" s="12" t="b">
        <f t="shared" si="276"/>
        <v>1</v>
      </c>
      <c r="AB681" s="12" t="b">
        <f t="shared" si="277"/>
        <v>1</v>
      </c>
      <c r="AC681" s="12" t="b">
        <f t="shared" si="278"/>
        <v>1</v>
      </c>
      <c r="AD681" s="12" t="b">
        <f t="shared" si="279"/>
        <v>1</v>
      </c>
      <c r="AE681" s="12" t="b">
        <f t="shared" si="280"/>
        <v>1</v>
      </c>
      <c r="AF681" s="12" t="b">
        <f t="shared" si="281"/>
        <v>1</v>
      </c>
    </row>
    <row r="682" spans="1:32" s="49" customFormat="1" ht="15.75" customHeight="1">
      <c r="A682" s="282"/>
      <c r="B682" s="46" t="s">
        <v>147</v>
      </c>
      <c r="C682" s="36" t="s">
        <v>95</v>
      </c>
      <c r="D682" s="37" t="s">
        <v>13</v>
      </c>
      <c r="E682" s="37" t="s">
        <v>85</v>
      </c>
      <c r="F682" s="37" t="s">
        <v>370</v>
      </c>
      <c r="G682" s="37" t="s">
        <v>154</v>
      </c>
      <c r="H682" s="183">
        <v>387750</v>
      </c>
      <c r="I682" s="183">
        <v>387664</v>
      </c>
      <c r="J682" s="183">
        <f>387620+0.01</f>
        <v>387620.01</v>
      </c>
      <c r="K682" s="183">
        <v>387750</v>
      </c>
      <c r="L682" s="183">
        <v>387664</v>
      </c>
      <c r="M682" s="183">
        <v>387620</v>
      </c>
      <c r="N682" s="43">
        <f t="shared" si="289"/>
        <v>0</v>
      </c>
      <c r="O682" s="183">
        <v>387750</v>
      </c>
      <c r="P682" s="183">
        <v>387664</v>
      </c>
      <c r="Q682" s="183">
        <v>387620</v>
      </c>
      <c r="R682" s="472">
        <f t="shared" si="296"/>
        <v>0</v>
      </c>
      <c r="S682" s="472">
        <f t="shared" si="297"/>
        <v>0</v>
      </c>
      <c r="T682" s="472">
        <f t="shared" si="298"/>
        <v>1.0000000009313226E-2</v>
      </c>
      <c r="U682" s="46" t="s">
        <v>147</v>
      </c>
      <c r="V682" s="36" t="s">
        <v>95</v>
      </c>
      <c r="W682" s="37" t="s">
        <v>13</v>
      </c>
      <c r="X682" s="37" t="s">
        <v>85</v>
      </c>
      <c r="Y682" s="37" t="s">
        <v>370</v>
      </c>
      <c r="Z682" s="37" t="s">
        <v>154</v>
      </c>
      <c r="AA682" s="12" t="b">
        <f t="shared" si="276"/>
        <v>1</v>
      </c>
      <c r="AB682" s="12" t="b">
        <f t="shared" si="277"/>
        <v>1</v>
      </c>
      <c r="AC682" s="12" t="b">
        <f t="shared" si="278"/>
        <v>1</v>
      </c>
      <c r="AD682" s="12" t="b">
        <f t="shared" si="279"/>
        <v>1</v>
      </c>
      <c r="AE682" s="12" t="b">
        <f t="shared" si="280"/>
        <v>1</v>
      </c>
      <c r="AF682" s="12" t="b">
        <f t="shared" si="281"/>
        <v>1</v>
      </c>
    </row>
    <row r="683" spans="1:32" s="44" customFormat="1" ht="15.75" customHeight="1">
      <c r="A683" s="285"/>
      <c r="B683" s="48" t="s">
        <v>941</v>
      </c>
      <c r="C683" s="36" t="s">
        <v>95</v>
      </c>
      <c r="D683" s="37" t="s">
        <v>13</v>
      </c>
      <c r="E683" s="37" t="s">
        <v>85</v>
      </c>
      <c r="F683" s="37" t="s">
        <v>371</v>
      </c>
      <c r="G683" s="37" t="s">
        <v>90</v>
      </c>
      <c r="H683" s="183">
        <f>H684</f>
        <v>9501.11</v>
      </c>
      <c r="I683" s="183">
        <f>I684</f>
        <v>9501.11</v>
      </c>
      <c r="J683" s="183">
        <f>J684</f>
        <v>9501.11</v>
      </c>
      <c r="K683" s="183">
        <v>9501.11</v>
      </c>
      <c r="L683" s="183">
        <v>9501.11</v>
      </c>
      <c r="M683" s="183">
        <v>9501.11</v>
      </c>
      <c r="N683" s="43">
        <f t="shared" si="289"/>
        <v>0</v>
      </c>
      <c r="O683" s="183">
        <v>9501.11</v>
      </c>
      <c r="P683" s="183">
        <v>9501.11</v>
      </c>
      <c r="Q683" s="183">
        <v>9501.11</v>
      </c>
      <c r="R683" s="472">
        <f t="shared" si="296"/>
        <v>0</v>
      </c>
      <c r="S683" s="472">
        <f t="shared" si="297"/>
        <v>0</v>
      </c>
      <c r="T683" s="472">
        <f t="shared" si="298"/>
        <v>0</v>
      </c>
      <c r="U683" s="48" t="s">
        <v>941</v>
      </c>
      <c r="V683" s="36" t="s">
        <v>95</v>
      </c>
      <c r="W683" s="37" t="s">
        <v>13</v>
      </c>
      <c r="X683" s="37" t="s">
        <v>85</v>
      </c>
      <c r="Y683" s="37" t="s">
        <v>371</v>
      </c>
      <c r="Z683" s="37" t="s">
        <v>90</v>
      </c>
      <c r="AA683" s="12" t="b">
        <f t="shared" si="276"/>
        <v>1</v>
      </c>
      <c r="AB683" s="12" t="b">
        <f t="shared" si="277"/>
        <v>1</v>
      </c>
      <c r="AC683" s="12" t="b">
        <f t="shared" si="278"/>
        <v>1</v>
      </c>
      <c r="AD683" s="12" t="b">
        <f t="shared" si="279"/>
        <v>1</v>
      </c>
      <c r="AE683" s="12" t="b">
        <f t="shared" si="280"/>
        <v>1</v>
      </c>
      <c r="AF683" s="12" t="b">
        <f t="shared" si="281"/>
        <v>1</v>
      </c>
    </row>
    <row r="684" spans="1:32" s="44" customFormat="1" ht="15.75" customHeight="1">
      <c r="A684" s="285"/>
      <c r="B684" s="178" t="s">
        <v>147</v>
      </c>
      <c r="C684" s="36" t="s">
        <v>95</v>
      </c>
      <c r="D684" s="37" t="s">
        <v>13</v>
      </c>
      <c r="E684" s="37" t="s">
        <v>85</v>
      </c>
      <c r="F684" s="37" t="s">
        <v>371</v>
      </c>
      <c r="G684" s="37" t="s">
        <v>154</v>
      </c>
      <c r="H684" s="183">
        <v>9501.11</v>
      </c>
      <c r="I684" s="183">
        <v>9501.11</v>
      </c>
      <c r="J684" s="183">
        <v>9501.11</v>
      </c>
      <c r="K684" s="183">
        <v>9501.11</v>
      </c>
      <c r="L684" s="183">
        <v>9501.11</v>
      </c>
      <c r="M684" s="183">
        <v>9501.11</v>
      </c>
      <c r="N684" s="43">
        <f t="shared" si="289"/>
        <v>0</v>
      </c>
      <c r="O684" s="183">
        <v>9501.11</v>
      </c>
      <c r="P684" s="183">
        <v>9501.11</v>
      </c>
      <c r="Q684" s="183">
        <v>9501.11</v>
      </c>
      <c r="R684" s="472">
        <f t="shared" si="296"/>
        <v>0</v>
      </c>
      <c r="S684" s="472">
        <f t="shared" si="297"/>
        <v>0</v>
      </c>
      <c r="T684" s="472">
        <f t="shared" si="298"/>
        <v>0</v>
      </c>
      <c r="U684" s="178" t="s">
        <v>147</v>
      </c>
      <c r="V684" s="36" t="s">
        <v>95</v>
      </c>
      <c r="W684" s="37" t="s">
        <v>13</v>
      </c>
      <c r="X684" s="37" t="s">
        <v>85</v>
      </c>
      <c r="Y684" s="37" t="s">
        <v>371</v>
      </c>
      <c r="Z684" s="37" t="s">
        <v>154</v>
      </c>
      <c r="AA684" s="12" t="b">
        <f t="shared" si="276"/>
        <v>1</v>
      </c>
      <c r="AB684" s="12" t="b">
        <f t="shared" si="277"/>
        <v>1</v>
      </c>
      <c r="AC684" s="12" t="b">
        <f t="shared" si="278"/>
        <v>1</v>
      </c>
      <c r="AD684" s="12" t="b">
        <f t="shared" si="279"/>
        <v>1</v>
      </c>
      <c r="AE684" s="12" t="b">
        <f t="shared" si="280"/>
        <v>1</v>
      </c>
      <c r="AF684" s="12" t="b">
        <f t="shared" si="281"/>
        <v>1</v>
      </c>
    </row>
    <row r="685" spans="1:32" s="44" customFormat="1" ht="15.75" customHeight="1">
      <c r="A685" s="285"/>
      <c r="B685" s="180" t="s">
        <v>942</v>
      </c>
      <c r="C685" s="36" t="s">
        <v>95</v>
      </c>
      <c r="D685" s="37" t="s">
        <v>13</v>
      </c>
      <c r="E685" s="37" t="s">
        <v>85</v>
      </c>
      <c r="F685" s="37" t="s">
        <v>807</v>
      </c>
      <c r="G685" s="37" t="s">
        <v>90</v>
      </c>
      <c r="H685" s="183">
        <f>H686+H687</f>
        <v>11042.93</v>
      </c>
      <c r="I685" s="183">
        <f>I686+I687</f>
        <v>11042.93</v>
      </c>
      <c r="J685" s="183">
        <f>J686+J687</f>
        <v>10936.35</v>
      </c>
      <c r="K685" s="183">
        <v>11042.93</v>
      </c>
      <c r="L685" s="183">
        <v>11042.93</v>
      </c>
      <c r="M685" s="183">
        <v>10936.35</v>
      </c>
      <c r="N685" s="43">
        <f t="shared" si="289"/>
        <v>0</v>
      </c>
      <c r="O685" s="183">
        <v>11042.93</v>
      </c>
      <c r="P685" s="183">
        <v>11042.93</v>
      </c>
      <c r="Q685" s="183">
        <v>10936.35</v>
      </c>
      <c r="R685" s="472">
        <f t="shared" si="296"/>
        <v>0</v>
      </c>
      <c r="S685" s="472">
        <f t="shared" si="297"/>
        <v>0</v>
      </c>
      <c r="T685" s="472">
        <f t="shared" si="298"/>
        <v>0</v>
      </c>
      <c r="U685" s="180" t="s">
        <v>942</v>
      </c>
      <c r="V685" s="36" t="s">
        <v>95</v>
      </c>
      <c r="W685" s="37" t="s">
        <v>13</v>
      </c>
      <c r="X685" s="37" t="s">
        <v>85</v>
      </c>
      <c r="Y685" s="37" t="s">
        <v>807</v>
      </c>
      <c r="Z685" s="37" t="s">
        <v>90</v>
      </c>
      <c r="AA685" s="12" t="b">
        <f t="shared" si="276"/>
        <v>1</v>
      </c>
      <c r="AB685" s="12" t="b">
        <f t="shared" si="277"/>
        <v>1</v>
      </c>
      <c r="AC685" s="12" t="b">
        <f t="shared" si="278"/>
        <v>1</v>
      </c>
      <c r="AD685" s="12" t="b">
        <f t="shared" si="279"/>
        <v>1</v>
      </c>
      <c r="AE685" s="12" t="b">
        <f t="shared" si="280"/>
        <v>1</v>
      </c>
      <c r="AF685" s="12" t="b">
        <f t="shared" si="281"/>
        <v>1</v>
      </c>
    </row>
    <row r="686" spans="1:32" s="44" customFormat="1" ht="15.75" customHeight="1">
      <c r="A686" s="285"/>
      <c r="B686" s="23" t="s">
        <v>145</v>
      </c>
      <c r="C686" s="36" t="s">
        <v>95</v>
      </c>
      <c r="D686" s="37" t="s">
        <v>13</v>
      </c>
      <c r="E686" s="37" t="s">
        <v>85</v>
      </c>
      <c r="F686" s="37" t="s">
        <v>830</v>
      </c>
      <c r="G686" s="37" t="s">
        <v>153</v>
      </c>
      <c r="H686" s="183">
        <v>108.93</v>
      </c>
      <c r="I686" s="183">
        <v>107.93</v>
      </c>
      <c r="J686" s="183">
        <v>106.35</v>
      </c>
      <c r="K686" s="183">
        <v>108.93</v>
      </c>
      <c r="L686" s="183">
        <v>107.93</v>
      </c>
      <c r="M686" s="183">
        <v>106.35</v>
      </c>
      <c r="N686" s="43">
        <f t="shared" si="289"/>
        <v>0</v>
      </c>
      <c r="O686" s="183">
        <v>108.93</v>
      </c>
      <c r="P686" s="183">
        <v>107.93</v>
      </c>
      <c r="Q686" s="183">
        <v>106.35</v>
      </c>
      <c r="R686" s="472">
        <f t="shared" si="296"/>
        <v>0</v>
      </c>
      <c r="S686" s="472">
        <f t="shared" si="297"/>
        <v>0</v>
      </c>
      <c r="T686" s="472">
        <f t="shared" si="298"/>
        <v>0</v>
      </c>
      <c r="U686" s="23" t="s">
        <v>145</v>
      </c>
      <c r="V686" s="36" t="s">
        <v>95</v>
      </c>
      <c r="W686" s="37" t="s">
        <v>13</v>
      </c>
      <c r="X686" s="37" t="s">
        <v>85</v>
      </c>
      <c r="Y686" s="37" t="s">
        <v>830</v>
      </c>
      <c r="Z686" s="37" t="s">
        <v>153</v>
      </c>
      <c r="AA686" s="12" t="b">
        <f t="shared" si="276"/>
        <v>1</v>
      </c>
      <c r="AB686" s="12" t="b">
        <f t="shared" si="277"/>
        <v>1</v>
      </c>
      <c r="AC686" s="12" t="b">
        <f t="shared" si="278"/>
        <v>1</v>
      </c>
      <c r="AD686" s="12" t="b">
        <f t="shared" si="279"/>
        <v>1</v>
      </c>
      <c r="AE686" s="12" t="b">
        <f t="shared" si="280"/>
        <v>1</v>
      </c>
      <c r="AF686" s="12" t="b">
        <f t="shared" si="281"/>
        <v>1</v>
      </c>
    </row>
    <row r="687" spans="1:32" s="44" customFormat="1" ht="15.75" customHeight="1">
      <c r="A687" s="285"/>
      <c r="B687" s="178" t="s">
        <v>147</v>
      </c>
      <c r="C687" s="36" t="s">
        <v>95</v>
      </c>
      <c r="D687" s="37" t="s">
        <v>13</v>
      </c>
      <c r="E687" s="37" t="s">
        <v>85</v>
      </c>
      <c r="F687" s="37" t="s">
        <v>807</v>
      </c>
      <c r="G687" s="37" t="s">
        <v>154</v>
      </c>
      <c r="H687" s="183">
        <v>10934</v>
      </c>
      <c r="I687" s="183">
        <v>10935</v>
      </c>
      <c r="J687" s="183">
        <v>10830</v>
      </c>
      <c r="K687" s="183">
        <v>10934</v>
      </c>
      <c r="L687" s="183">
        <v>10935</v>
      </c>
      <c r="M687" s="183">
        <v>10830</v>
      </c>
      <c r="N687" s="43">
        <f t="shared" si="289"/>
        <v>0</v>
      </c>
      <c r="O687" s="183">
        <v>10934</v>
      </c>
      <c r="P687" s="183">
        <v>10935</v>
      </c>
      <c r="Q687" s="183">
        <v>10830</v>
      </c>
      <c r="R687" s="472">
        <f t="shared" si="296"/>
        <v>0</v>
      </c>
      <c r="S687" s="472">
        <f t="shared" si="297"/>
        <v>0</v>
      </c>
      <c r="T687" s="472">
        <f t="shared" si="298"/>
        <v>0</v>
      </c>
      <c r="U687" s="178" t="s">
        <v>147</v>
      </c>
      <c r="V687" s="36" t="s">
        <v>95</v>
      </c>
      <c r="W687" s="37" t="s">
        <v>13</v>
      </c>
      <c r="X687" s="37" t="s">
        <v>85</v>
      </c>
      <c r="Y687" s="37" t="s">
        <v>807</v>
      </c>
      <c r="Z687" s="37" t="s">
        <v>154</v>
      </c>
      <c r="AA687" s="12" t="b">
        <f t="shared" si="276"/>
        <v>1</v>
      </c>
      <c r="AB687" s="12" t="b">
        <f t="shared" si="277"/>
        <v>1</v>
      </c>
      <c r="AC687" s="12" t="b">
        <f t="shared" si="278"/>
        <v>1</v>
      </c>
      <c r="AD687" s="12" t="b">
        <f t="shared" si="279"/>
        <v>1</v>
      </c>
      <c r="AE687" s="12" t="b">
        <f t="shared" si="280"/>
        <v>1</v>
      </c>
      <c r="AF687" s="12" t="b">
        <f t="shared" si="281"/>
        <v>1</v>
      </c>
    </row>
    <row r="688" spans="1:32" s="44" customFormat="1" ht="15.75" customHeight="1">
      <c r="A688" s="285"/>
      <c r="B688" s="178" t="s">
        <v>1087</v>
      </c>
      <c r="C688" s="36" t="s">
        <v>95</v>
      </c>
      <c r="D688" s="37" t="s">
        <v>13</v>
      </c>
      <c r="E688" s="37" t="s">
        <v>85</v>
      </c>
      <c r="F688" s="37" t="s">
        <v>885</v>
      </c>
      <c r="G688" s="37" t="s">
        <v>90</v>
      </c>
      <c r="H688" s="183">
        <f>H689+H690</f>
        <v>112943.58</v>
      </c>
      <c r="I688" s="183">
        <f>I689+I690</f>
        <v>106774.31</v>
      </c>
      <c r="J688" s="183">
        <f>J689+J690</f>
        <v>100551.03999999999</v>
      </c>
      <c r="K688" s="183">
        <v>112943.58</v>
      </c>
      <c r="L688" s="183">
        <v>106774.31</v>
      </c>
      <c r="M688" s="183">
        <v>100551.03999999999</v>
      </c>
      <c r="N688" s="43">
        <f t="shared" si="289"/>
        <v>0</v>
      </c>
      <c r="O688" s="183">
        <v>112943.58</v>
      </c>
      <c r="P688" s="183">
        <v>106774.31</v>
      </c>
      <c r="Q688" s="183">
        <v>100551.03999999999</v>
      </c>
      <c r="R688" s="472">
        <f t="shared" si="296"/>
        <v>0</v>
      </c>
      <c r="S688" s="472">
        <f t="shared" si="297"/>
        <v>0</v>
      </c>
      <c r="T688" s="472">
        <f t="shared" si="298"/>
        <v>0</v>
      </c>
      <c r="U688" s="178" t="s">
        <v>1087</v>
      </c>
      <c r="V688" s="36" t="s">
        <v>95</v>
      </c>
      <c r="W688" s="37" t="s">
        <v>13</v>
      </c>
      <c r="X688" s="37" t="s">
        <v>85</v>
      </c>
      <c r="Y688" s="37" t="s">
        <v>885</v>
      </c>
      <c r="Z688" s="37" t="s">
        <v>90</v>
      </c>
      <c r="AA688" s="12" t="b">
        <f t="shared" ref="AA688:AA751" si="300">B688=U688</f>
        <v>1</v>
      </c>
      <c r="AB688" s="12" t="b">
        <f t="shared" ref="AB688:AB751" si="301">C688=V688</f>
        <v>1</v>
      </c>
      <c r="AC688" s="12" t="b">
        <f t="shared" ref="AC688:AC751" si="302">D688=W688</f>
        <v>1</v>
      </c>
      <c r="AD688" s="12" t="b">
        <f t="shared" ref="AD688:AD751" si="303">E688=X688</f>
        <v>1</v>
      </c>
      <c r="AE688" s="12" t="b">
        <f t="shared" ref="AE688:AE751" si="304">F688=Y688</f>
        <v>1</v>
      </c>
      <c r="AF688" s="12" t="b">
        <f t="shared" ref="AF688:AF751" si="305">G688=Z688</f>
        <v>1</v>
      </c>
    </row>
    <row r="689" spans="1:32" s="44" customFormat="1" ht="15.75" customHeight="1">
      <c r="A689" s="285"/>
      <c r="B689" s="182" t="s">
        <v>145</v>
      </c>
      <c r="C689" s="36" t="s">
        <v>95</v>
      </c>
      <c r="D689" s="37" t="s">
        <v>13</v>
      </c>
      <c r="E689" s="37" t="s">
        <v>85</v>
      </c>
      <c r="F689" s="37" t="s">
        <v>885</v>
      </c>
      <c r="G689" s="37" t="s">
        <v>153</v>
      </c>
      <c r="H689" s="183">
        <v>500.58</v>
      </c>
      <c r="I689" s="183">
        <v>460.31</v>
      </c>
      <c r="J689" s="183">
        <v>451.04</v>
      </c>
      <c r="K689" s="183">
        <v>500.58</v>
      </c>
      <c r="L689" s="183">
        <v>460.31</v>
      </c>
      <c r="M689" s="183">
        <v>451.04</v>
      </c>
      <c r="N689" s="43">
        <f t="shared" si="289"/>
        <v>0</v>
      </c>
      <c r="O689" s="183">
        <v>500.58</v>
      </c>
      <c r="P689" s="183">
        <v>460.31</v>
      </c>
      <c r="Q689" s="183">
        <v>451.04</v>
      </c>
      <c r="R689" s="472">
        <f t="shared" si="296"/>
        <v>0</v>
      </c>
      <c r="S689" s="472">
        <f t="shared" si="297"/>
        <v>0</v>
      </c>
      <c r="T689" s="472">
        <f t="shared" si="298"/>
        <v>0</v>
      </c>
      <c r="U689" s="182" t="s">
        <v>145</v>
      </c>
      <c r="V689" s="36" t="s">
        <v>95</v>
      </c>
      <c r="W689" s="37" t="s">
        <v>13</v>
      </c>
      <c r="X689" s="37" t="s">
        <v>85</v>
      </c>
      <c r="Y689" s="37" t="s">
        <v>885</v>
      </c>
      <c r="Z689" s="37" t="s">
        <v>153</v>
      </c>
      <c r="AA689" s="12" t="b">
        <f t="shared" si="300"/>
        <v>1</v>
      </c>
      <c r="AB689" s="12" t="b">
        <f t="shared" si="301"/>
        <v>1</v>
      </c>
      <c r="AC689" s="12" t="b">
        <f t="shared" si="302"/>
        <v>1</v>
      </c>
      <c r="AD689" s="12" t="b">
        <f t="shared" si="303"/>
        <v>1</v>
      </c>
      <c r="AE689" s="12" t="b">
        <f t="shared" si="304"/>
        <v>1</v>
      </c>
      <c r="AF689" s="12" t="b">
        <f t="shared" si="305"/>
        <v>1</v>
      </c>
    </row>
    <row r="690" spans="1:32" s="44" customFormat="1" ht="15.75" customHeight="1">
      <c r="A690" s="285"/>
      <c r="B690" s="23" t="s">
        <v>146</v>
      </c>
      <c r="C690" s="36" t="s">
        <v>95</v>
      </c>
      <c r="D690" s="37" t="s">
        <v>13</v>
      </c>
      <c r="E690" s="37" t="s">
        <v>85</v>
      </c>
      <c r="F690" s="37" t="s">
        <v>885</v>
      </c>
      <c r="G690" s="37" t="s">
        <v>169</v>
      </c>
      <c r="H690" s="183">
        <v>112443</v>
      </c>
      <c r="I690" s="183">
        <v>106314</v>
      </c>
      <c r="J690" s="183">
        <v>100100</v>
      </c>
      <c r="K690" s="183">
        <v>112443</v>
      </c>
      <c r="L690" s="183">
        <v>106314</v>
      </c>
      <c r="M690" s="183">
        <v>100100</v>
      </c>
      <c r="N690" s="43">
        <f t="shared" si="289"/>
        <v>0</v>
      </c>
      <c r="O690" s="183">
        <v>112443</v>
      </c>
      <c r="P690" s="183">
        <v>106314</v>
      </c>
      <c r="Q690" s="183">
        <v>100100</v>
      </c>
      <c r="R690" s="472">
        <f t="shared" si="296"/>
        <v>0</v>
      </c>
      <c r="S690" s="472">
        <f t="shared" si="297"/>
        <v>0</v>
      </c>
      <c r="T690" s="472">
        <f t="shared" si="298"/>
        <v>0</v>
      </c>
      <c r="U690" s="23" t="s">
        <v>146</v>
      </c>
      <c r="V690" s="36" t="s">
        <v>95</v>
      </c>
      <c r="W690" s="37" t="s">
        <v>13</v>
      </c>
      <c r="X690" s="37" t="s">
        <v>85</v>
      </c>
      <c r="Y690" s="37" t="s">
        <v>885</v>
      </c>
      <c r="Z690" s="37" t="s">
        <v>169</v>
      </c>
      <c r="AA690" s="12" t="b">
        <f t="shared" si="300"/>
        <v>1</v>
      </c>
      <c r="AB690" s="12" t="b">
        <f t="shared" si="301"/>
        <v>1</v>
      </c>
      <c r="AC690" s="12" t="b">
        <f t="shared" si="302"/>
        <v>1</v>
      </c>
      <c r="AD690" s="12" t="b">
        <f t="shared" si="303"/>
        <v>1</v>
      </c>
      <c r="AE690" s="12" t="b">
        <f t="shared" si="304"/>
        <v>1</v>
      </c>
      <c r="AF690" s="12" t="b">
        <f t="shared" si="305"/>
        <v>1</v>
      </c>
    </row>
    <row r="691" spans="1:32" s="44" customFormat="1" ht="15.75" customHeight="1">
      <c r="A691" s="285"/>
      <c r="B691" s="178" t="s">
        <v>943</v>
      </c>
      <c r="C691" s="36" t="s">
        <v>95</v>
      </c>
      <c r="D691" s="37" t="s">
        <v>13</v>
      </c>
      <c r="E691" s="37" t="s">
        <v>85</v>
      </c>
      <c r="F691" s="37" t="s">
        <v>693</v>
      </c>
      <c r="G691" s="37" t="s">
        <v>90</v>
      </c>
      <c r="H691" s="183">
        <f>SUM(H692:H693)</f>
        <v>422326.44</v>
      </c>
      <c r="I691" s="183">
        <f>SUM(I692:I693)</f>
        <v>400000</v>
      </c>
      <c r="J691" s="183">
        <f>SUM(J692:J693)</f>
        <v>400000</v>
      </c>
      <c r="K691" s="183">
        <v>400000</v>
      </c>
      <c r="L691" s="183">
        <v>400000</v>
      </c>
      <c r="M691" s="183">
        <v>400000</v>
      </c>
      <c r="N691" s="43">
        <f t="shared" si="289"/>
        <v>-22326.440000000002</v>
      </c>
      <c r="O691" s="183">
        <v>400000</v>
      </c>
      <c r="P691" s="183">
        <v>400000</v>
      </c>
      <c r="Q691" s="183">
        <v>400000</v>
      </c>
      <c r="R691" s="472">
        <f t="shared" si="296"/>
        <v>22326.440000000002</v>
      </c>
      <c r="S691" s="472">
        <f t="shared" si="297"/>
        <v>0</v>
      </c>
      <c r="T691" s="472">
        <f t="shared" si="298"/>
        <v>0</v>
      </c>
      <c r="U691" s="178" t="s">
        <v>943</v>
      </c>
      <c r="V691" s="36" t="s">
        <v>95</v>
      </c>
      <c r="W691" s="37" t="s">
        <v>13</v>
      </c>
      <c r="X691" s="37" t="s">
        <v>85</v>
      </c>
      <c r="Y691" s="37" t="s">
        <v>693</v>
      </c>
      <c r="Z691" s="37" t="s">
        <v>90</v>
      </c>
      <c r="AA691" s="12" t="b">
        <f t="shared" si="300"/>
        <v>1</v>
      </c>
      <c r="AB691" s="12" t="b">
        <f t="shared" si="301"/>
        <v>1</v>
      </c>
      <c r="AC691" s="12" t="b">
        <f t="shared" si="302"/>
        <v>1</v>
      </c>
      <c r="AD691" s="12" t="b">
        <f t="shared" si="303"/>
        <v>1</v>
      </c>
      <c r="AE691" s="12" t="b">
        <f t="shared" si="304"/>
        <v>1</v>
      </c>
      <c r="AF691" s="12" t="b">
        <f t="shared" si="305"/>
        <v>1</v>
      </c>
    </row>
    <row r="692" spans="1:32" s="44" customFormat="1" ht="15.75" customHeight="1">
      <c r="A692" s="285"/>
      <c r="B692" s="182" t="s">
        <v>145</v>
      </c>
      <c r="C692" s="36" t="s">
        <v>95</v>
      </c>
      <c r="D692" s="37" t="s">
        <v>13</v>
      </c>
      <c r="E692" s="37" t="s">
        <v>85</v>
      </c>
      <c r="F692" s="37" t="s">
        <v>693</v>
      </c>
      <c r="G692" s="37" t="s">
        <v>153</v>
      </c>
      <c r="H692" s="183">
        <f>5000+600</f>
        <v>5600</v>
      </c>
      <c r="I692" s="183">
        <v>5000</v>
      </c>
      <c r="J692" s="183">
        <v>5000</v>
      </c>
      <c r="K692" s="183">
        <v>5000</v>
      </c>
      <c r="L692" s="183">
        <v>5000</v>
      </c>
      <c r="M692" s="183">
        <v>5000</v>
      </c>
      <c r="N692" s="43">
        <f t="shared" si="289"/>
        <v>-600</v>
      </c>
      <c r="O692" s="183">
        <v>5000</v>
      </c>
      <c r="P692" s="183">
        <v>5000</v>
      </c>
      <c r="Q692" s="183">
        <v>5000</v>
      </c>
      <c r="R692" s="472">
        <f t="shared" si="296"/>
        <v>600</v>
      </c>
      <c r="S692" s="472">
        <f t="shared" si="297"/>
        <v>0</v>
      </c>
      <c r="T692" s="472">
        <f t="shared" si="298"/>
        <v>0</v>
      </c>
      <c r="U692" s="182" t="s">
        <v>145</v>
      </c>
      <c r="V692" s="36" t="s">
        <v>95</v>
      </c>
      <c r="W692" s="37" t="s">
        <v>13</v>
      </c>
      <c r="X692" s="37" t="s">
        <v>85</v>
      </c>
      <c r="Y692" s="37" t="s">
        <v>693</v>
      </c>
      <c r="Z692" s="37" t="s">
        <v>153</v>
      </c>
      <c r="AA692" s="12" t="b">
        <f t="shared" si="300"/>
        <v>1</v>
      </c>
      <c r="AB692" s="12" t="b">
        <f t="shared" si="301"/>
        <v>1</v>
      </c>
      <c r="AC692" s="12" t="b">
        <f t="shared" si="302"/>
        <v>1</v>
      </c>
      <c r="AD692" s="12" t="b">
        <f t="shared" si="303"/>
        <v>1</v>
      </c>
      <c r="AE692" s="12" t="b">
        <f t="shared" si="304"/>
        <v>1</v>
      </c>
      <c r="AF692" s="12" t="b">
        <f t="shared" si="305"/>
        <v>1</v>
      </c>
    </row>
    <row r="693" spans="1:32" s="44" customFormat="1" ht="15.75" customHeight="1">
      <c r="A693" s="285"/>
      <c r="B693" s="23" t="s">
        <v>146</v>
      </c>
      <c r="C693" s="36" t="s">
        <v>95</v>
      </c>
      <c r="D693" s="37" t="s">
        <v>13</v>
      </c>
      <c r="E693" s="37" t="s">
        <v>85</v>
      </c>
      <c r="F693" s="37" t="s">
        <v>693</v>
      </c>
      <c r="G693" s="37" t="s">
        <v>169</v>
      </c>
      <c r="H693" s="183">
        <f>395000+21726.44</f>
        <v>416726.44</v>
      </c>
      <c r="I693" s="183">
        <v>395000</v>
      </c>
      <c r="J693" s="183">
        <v>395000</v>
      </c>
      <c r="K693" s="183">
        <v>395000</v>
      </c>
      <c r="L693" s="183">
        <v>395000</v>
      </c>
      <c r="M693" s="183">
        <v>395000</v>
      </c>
      <c r="N693" s="43">
        <f t="shared" si="289"/>
        <v>-21726.440000000002</v>
      </c>
      <c r="O693" s="183">
        <v>395000</v>
      </c>
      <c r="P693" s="183">
        <v>395000</v>
      </c>
      <c r="Q693" s="183">
        <v>395000</v>
      </c>
      <c r="R693" s="472">
        <f t="shared" si="296"/>
        <v>21726.440000000002</v>
      </c>
      <c r="S693" s="472">
        <f t="shared" si="297"/>
        <v>0</v>
      </c>
      <c r="T693" s="472">
        <f t="shared" si="298"/>
        <v>0</v>
      </c>
      <c r="U693" s="23" t="s">
        <v>146</v>
      </c>
      <c r="V693" s="36" t="s">
        <v>95</v>
      </c>
      <c r="W693" s="37" t="s">
        <v>13</v>
      </c>
      <c r="X693" s="37" t="s">
        <v>85</v>
      </c>
      <c r="Y693" s="37" t="s">
        <v>693</v>
      </c>
      <c r="Z693" s="37" t="s">
        <v>169</v>
      </c>
      <c r="AA693" s="12" t="b">
        <f t="shared" si="300"/>
        <v>1</v>
      </c>
      <c r="AB693" s="12" t="b">
        <f t="shared" si="301"/>
        <v>1</v>
      </c>
      <c r="AC693" s="12" t="b">
        <f t="shared" si="302"/>
        <v>1</v>
      </c>
      <c r="AD693" s="12" t="b">
        <f t="shared" si="303"/>
        <v>1</v>
      </c>
      <c r="AE693" s="12" t="b">
        <f t="shared" si="304"/>
        <v>1</v>
      </c>
      <c r="AF693" s="12" t="b">
        <f t="shared" si="305"/>
        <v>1</v>
      </c>
    </row>
    <row r="694" spans="1:32" s="44" customFormat="1" ht="15.75" customHeight="1">
      <c r="A694" s="285"/>
      <c r="B694" s="178" t="s">
        <v>944</v>
      </c>
      <c r="C694" s="36" t="s">
        <v>95</v>
      </c>
      <c r="D694" s="37" t="s">
        <v>13</v>
      </c>
      <c r="E694" s="37" t="s">
        <v>85</v>
      </c>
      <c r="F694" s="37" t="s">
        <v>694</v>
      </c>
      <c r="G694" s="37" t="s">
        <v>90</v>
      </c>
      <c r="H694" s="183">
        <f>SUM(H695:H696)</f>
        <v>312060</v>
      </c>
      <c r="I694" s="183">
        <f>SUM(I695:I696)</f>
        <v>296000</v>
      </c>
      <c r="J694" s="183">
        <f>SUM(J695:J696)</f>
        <v>296000</v>
      </c>
      <c r="K694" s="183">
        <v>296000</v>
      </c>
      <c r="L694" s="183">
        <v>296000</v>
      </c>
      <c r="M694" s="183">
        <v>296000</v>
      </c>
      <c r="N694" s="43">
        <f t="shared" si="289"/>
        <v>-16060</v>
      </c>
      <c r="O694" s="183">
        <v>296000</v>
      </c>
      <c r="P694" s="183">
        <v>296000</v>
      </c>
      <c r="Q694" s="183">
        <v>296000</v>
      </c>
      <c r="R694" s="472">
        <f t="shared" si="296"/>
        <v>16060</v>
      </c>
      <c r="S694" s="472">
        <f t="shared" si="297"/>
        <v>0</v>
      </c>
      <c r="T694" s="472">
        <f t="shared" si="298"/>
        <v>0</v>
      </c>
      <c r="U694" s="178" t="s">
        <v>944</v>
      </c>
      <c r="V694" s="36" t="s">
        <v>95</v>
      </c>
      <c r="W694" s="37" t="s">
        <v>13</v>
      </c>
      <c r="X694" s="37" t="s">
        <v>85</v>
      </c>
      <c r="Y694" s="37" t="s">
        <v>694</v>
      </c>
      <c r="Z694" s="37" t="s">
        <v>90</v>
      </c>
      <c r="AA694" s="12" t="b">
        <f t="shared" si="300"/>
        <v>1</v>
      </c>
      <c r="AB694" s="12" t="b">
        <f t="shared" si="301"/>
        <v>1</v>
      </c>
      <c r="AC694" s="12" t="b">
        <f t="shared" si="302"/>
        <v>1</v>
      </c>
      <c r="AD694" s="12" t="b">
        <f t="shared" si="303"/>
        <v>1</v>
      </c>
      <c r="AE694" s="12" t="b">
        <f t="shared" si="304"/>
        <v>1</v>
      </c>
      <c r="AF694" s="12" t="b">
        <f t="shared" si="305"/>
        <v>1</v>
      </c>
    </row>
    <row r="695" spans="1:32" s="44" customFormat="1" ht="15.75" customHeight="1">
      <c r="A695" s="285"/>
      <c r="B695" s="23" t="s">
        <v>145</v>
      </c>
      <c r="C695" s="36" t="s">
        <v>95</v>
      </c>
      <c r="D695" s="37" t="s">
        <v>13</v>
      </c>
      <c r="E695" s="37" t="s">
        <v>85</v>
      </c>
      <c r="F695" s="37" t="s">
        <v>694</v>
      </c>
      <c r="G695" s="37" t="s">
        <v>153</v>
      </c>
      <c r="H695" s="183">
        <v>4000</v>
      </c>
      <c r="I695" s="183">
        <v>4000</v>
      </c>
      <c r="J695" s="183">
        <v>4000</v>
      </c>
      <c r="K695" s="183">
        <v>4000</v>
      </c>
      <c r="L695" s="183">
        <v>4000</v>
      </c>
      <c r="M695" s="183">
        <v>4000</v>
      </c>
      <c r="N695" s="43">
        <f t="shared" si="289"/>
        <v>0</v>
      </c>
      <c r="O695" s="183">
        <v>4000</v>
      </c>
      <c r="P695" s="183">
        <v>4000</v>
      </c>
      <c r="Q695" s="183">
        <v>4000</v>
      </c>
      <c r="R695" s="472">
        <f t="shared" si="296"/>
        <v>0</v>
      </c>
      <c r="S695" s="472">
        <f t="shared" si="297"/>
        <v>0</v>
      </c>
      <c r="T695" s="472">
        <f t="shared" si="298"/>
        <v>0</v>
      </c>
      <c r="U695" s="23" t="s">
        <v>145</v>
      </c>
      <c r="V695" s="36" t="s">
        <v>95</v>
      </c>
      <c r="W695" s="37" t="s">
        <v>13</v>
      </c>
      <c r="X695" s="37" t="s">
        <v>85</v>
      </c>
      <c r="Y695" s="37" t="s">
        <v>694</v>
      </c>
      <c r="Z695" s="37" t="s">
        <v>153</v>
      </c>
      <c r="AA695" s="12" t="b">
        <f t="shared" si="300"/>
        <v>1</v>
      </c>
      <c r="AB695" s="12" t="b">
        <f t="shared" si="301"/>
        <v>1</v>
      </c>
      <c r="AC695" s="12" t="b">
        <f t="shared" si="302"/>
        <v>1</v>
      </c>
      <c r="AD695" s="12" t="b">
        <f t="shared" si="303"/>
        <v>1</v>
      </c>
      <c r="AE695" s="12" t="b">
        <f t="shared" si="304"/>
        <v>1</v>
      </c>
      <c r="AF695" s="12" t="b">
        <f t="shared" si="305"/>
        <v>1</v>
      </c>
    </row>
    <row r="696" spans="1:32" s="44" customFormat="1" ht="15.75" customHeight="1">
      <c r="A696" s="285"/>
      <c r="B696" s="23" t="s">
        <v>146</v>
      </c>
      <c r="C696" s="36" t="s">
        <v>95</v>
      </c>
      <c r="D696" s="37" t="s">
        <v>13</v>
      </c>
      <c r="E696" s="37" t="s">
        <v>85</v>
      </c>
      <c r="F696" s="37" t="s">
        <v>694</v>
      </c>
      <c r="G696" s="37" t="s">
        <v>169</v>
      </c>
      <c r="H696" s="183">
        <f>292000+16060</f>
        <v>308060</v>
      </c>
      <c r="I696" s="183">
        <v>292000</v>
      </c>
      <c r="J696" s="183">
        <v>292000</v>
      </c>
      <c r="K696" s="183">
        <v>292000</v>
      </c>
      <c r="L696" s="183">
        <v>292000</v>
      </c>
      <c r="M696" s="183">
        <v>292000</v>
      </c>
      <c r="N696" s="43">
        <f t="shared" si="289"/>
        <v>-16060</v>
      </c>
      <c r="O696" s="183">
        <v>292000</v>
      </c>
      <c r="P696" s="183">
        <v>292000</v>
      </c>
      <c r="Q696" s="183">
        <v>292000</v>
      </c>
      <c r="R696" s="472">
        <f t="shared" si="296"/>
        <v>16060</v>
      </c>
      <c r="S696" s="472">
        <f t="shared" si="297"/>
        <v>0</v>
      </c>
      <c r="T696" s="472">
        <f t="shared" si="298"/>
        <v>0</v>
      </c>
      <c r="U696" s="23" t="s">
        <v>146</v>
      </c>
      <c r="V696" s="36" t="s">
        <v>95</v>
      </c>
      <c r="W696" s="37" t="s">
        <v>13</v>
      </c>
      <c r="X696" s="37" t="s">
        <v>85</v>
      </c>
      <c r="Y696" s="37" t="s">
        <v>694</v>
      </c>
      <c r="Z696" s="37" t="s">
        <v>169</v>
      </c>
      <c r="AA696" s="12" t="b">
        <f t="shared" si="300"/>
        <v>1</v>
      </c>
      <c r="AB696" s="12" t="b">
        <f t="shared" si="301"/>
        <v>1</v>
      </c>
      <c r="AC696" s="12" t="b">
        <f t="shared" si="302"/>
        <v>1</v>
      </c>
      <c r="AD696" s="12" t="b">
        <f t="shared" si="303"/>
        <v>1</v>
      </c>
      <c r="AE696" s="12" t="b">
        <f t="shared" si="304"/>
        <v>1</v>
      </c>
      <c r="AF696" s="12" t="b">
        <f t="shared" si="305"/>
        <v>1</v>
      </c>
    </row>
    <row r="697" spans="1:32" s="44" customFormat="1" ht="15.75" customHeight="1">
      <c r="A697" s="285"/>
      <c r="B697" s="178" t="s">
        <v>945</v>
      </c>
      <c r="C697" s="36" t="s">
        <v>95</v>
      </c>
      <c r="D697" s="37" t="s">
        <v>13</v>
      </c>
      <c r="E697" s="37" t="s">
        <v>85</v>
      </c>
      <c r="F697" s="37" t="s">
        <v>695</v>
      </c>
      <c r="G697" s="37" t="s">
        <v>90</v>
      </c>
      <c r="H697" s="183">
        <f>SUM(H698:H699)</f>
        <v>6496.02</v>
      </c>
      <c r="I697" s="183">
        <f t="shared" ref="I697:J697" si="306">SUM(I698:I699)</f>
        <v>6452</v>
      </c>
      <c r="J697" s="183">
        <f t="shared" si="306"/>
        <v>6452</v>
      </c>
      <c r="K697" s="183">
        <v>6452</v>
      </c>
      <c r="L697" s="183">
        <v>6452</v>
      </c>
      <c r="M697" s="183">
        <v>6452</v>
      </c>
      <c r="N697" s="43">
        <f t="shared" si="289"/>
        <v>-44.020000000000437</v>
      </c>
      <c r="O697" s="183">
        <v>6452</v>
      </c>
      <c r="P697" s="183">
        <v>6452</v>
      </c>
      <c r="Q697" s="183">
        <v>6452</v>
      </c>
      <c r="R697" s="472">
        <f t="shared" si="296"/>
        <v>44.020000000000437</v>
      </c>
      <c r="S697" s="472">
        <f t="shared" si="297"/>
        <v>0</v>
      </c>
      <c r="T697" s="472">
        <f t="shared" si="298"/>
        <v>0</v>
      </c>
      <c r="U697" s="178" t="s">
        <v>945</v>
      </c>
      <c r="V697" s="36" t="s">
        <v>95</v>
      </c>
      <c r="W697" s="37" t="s">
        <v>13</v>
      </c>
      <c r="X697" s="37" t="s">
        <v>85</v>
      </c>
      <c r="Y697" s="37" t="s">
        <v>695</v>
      </c>
      <c r="Z697" s="37" t="s">
        <v>90</v>
      </c>
      <c r="AA697" s="12" t="b">
        <f t="shared" si="300"/>
        <v>1</v>
      </c>
      <c r="AB697" s="12" t="b">
        <f t="shared" si="301"/>
        <v>1</v>
      </c>
      <c r="AC697" s="12" t="b">
        <f t="shared" si="302"/>
        <v>1</v>
      </c>
      <c r="AD697" s="12" t="b">
        <f t="shared" si="303"/>
        <v>1</v>
      </c>
      <c r="AE697" s="12" t="b">
        <f t="shared" si="304"/>
        <v>1</v>
      </c>
      <c r="AF697" s="12" t="b">
        <f t="shared" si="305"/>
        <v>1</v>
      </c>
    </row>
    <row r="698" spans="1:32" s="44" customFormat="1" ht="15.75" customHeight="1">
      <c r="A698" s="285"/>
      <c r="B698" s="182" t="s">
        <v>145</v>
      </c>
      <c r="C698" s="36" t="s">
        <v>95</v>
      </c>
      <c r="D698" s="37" t="s">
        <v>13</v>
      </c>
      <c r="E698" s="37" t="s">
        <v>85</v>
      </c>
      <c r="F698" s="37" t="s">
        <v>695</v>
      </c>
      <c r="G698" s="37" t="s">
        <v>153</v>
      </c>
      <c r="H698" s="183">
        <v>80</v>
      </c>
      <c r="I698" s="183">
        <v>80</v>
      </c>
      <c r="J698" s="183">
        <v>80</v>
      </c>
      <c r="K698" s="183">
        <v>80</v>
      </c>
      <c r="L698" s="183">
        <v>80</v>
      </c>
      <c r="M698" s="183">
        <v>80</v>
      </c>
      <c r="N698" s="43">
        <f t="shared" si="289"/>
        <v>0</v>
      </c>
      <c r="O698" s="183">
        <v>80</v>
      </c>
      <c r="P698" s="183">
        <v>80</v>
      </c>
      <c r="Q698" s="183">
        <v>80</v>
      </c>
      <c r="R698" s="472">
        <f t="shared" si="296"/>
        <v>0</v>
      </c>
      <c r="S698" s="472">
        <f t="shared" si="297"/>
        <v>0</v>
      </c>
      <c r="T698" s="472">
        <f t="shared" si="298"/>
        <v>0</v>
      </c>
      <c r="U698" s="182" t="s">
        <v>145</v>
      </c>
      <c r="V698" s="36" t="s">
        <v>95</v>
      </c>
      <c r="W698" s="37" t="s">
        <v>13</v>
      </c>
      <c r="X698" s="37" t="s">
        <v>85</v>
      </c>
      <c r="Y698" s="37" t="s">
        <v>695</v>
      </c>
      <c r="Z698" s="37" t="s">
        <v>153</v>
      </c>
      <c r="AA698" s="12" t="b">
        <f t="shared" si="300"/>
        <v>1</v>
      </c>
      <c r="AB698" s="12" t="b">
        <f t="shared" si="301"/>
        <v>1</v>
      </c>
      <c r="AC698" s="12" t="b">
        <f t="shared" si="302"/>
        <v>1</v>
      </c>
      <c r="AD698" s="12" t="b">
        <f t="shared" si="303"/>
        <v>1</v>
      </c>
      <c r="AE698" s="12" t="b">
        <f t="shared" si="304"/>
        <v>1</v>
      </c>
      <c r="AF698" s="12" t="b">
        <f t="shared" si="305"/>
        <v>1</v>
      </c>
    </row>
    <row r="699" spans="1:32" s="44" customFormat="1" ht="15.75" customHeight="1">
      <c r="A699" s="285"/>
      <c r="B699" s="23" t="s">
        <v>146</v>
      </c>
      <c r="C699" s="36" t="s">
        <v>95</v>
      </c>
      <c r="D699" s="37" t="s">
        <v>13</v>
      </c>
      <c r="E699" s="37" t="s">
        <v>85</v>
      </c>
      <c r="F699" s="37" t="s">
        <v>695</v>
      </c>
      <c r="G699" s="37" t="s">
        <v>169</v>
      </c>
      <c r="H699" s="183">
        <f>6372+44.02</f>
        <v>6416.02</v>
      </c>
      <c r="I699" s="183">
        <v>6372</v>
      </c>
      <c r="J699" s="183">
        <v>6372</v>
      </c>
      <c r="K699" s="183">
        <v>6372</v>
      </c>
      <c r="L699" s="183">
        <v>6372</v>
      </c>
      <c r="M699" s="183">
        <v>6372</v>
      </c>
      <c r="N699" s="43">
        <f t="shared" si="289"/>
        <v>-44.020000000000437</v>
      </c>
      <c r="O699" s="183">
        <v>6372</v>
      </c>
      <c r="P699" s="183">
        <v>6372</v>
      </c>
      <c r="Q699" s="183">
        <v>6372</v>
      </c>
      <c r="R699" s="472">
        <f t="shared" si="296"/>
        <v>44.020000000000437</v>
      </c>
      <c r="S699" s="472">
        <f t="shared" si="297"/>
        <v>0</v>
      </c>
      <c r="T699" s="472">
        <f t="shared" si="298"/>
        <v>0</v>
      </c>
      <c r="U699" s="23" t="s">
        <v>146</v>
      </c>
      <c r="V699" s="36" t="s">
        <v>95</v>
      </c>
      <c r="W699" s="37" t="s">
        <v>13</v>
      </c>
      <c r="X699" s="37" t="s">
        <v>85</v>
      </c>
      <c r="Y699" s="37" t="s">
        <v>695</v>
      </c>
      <c r="Z699" s="37" t="s">
        <v>169</v>
      </c>
      <c r="AA699" s="12" t="b">
        <f t="shared" si="300"/>
        <v>1</v>
      </c>
      <c r="AB699" s="12" t="b">
        <f t="shared" si="301"/>
        <v>1</v>
      </c>
      <c r="AC699" s="12" t="b">
        <f t="shared" si="302"/>
        <v>1</v>
      </c>
      <c r="AD699" s="12" t="b">
        <f t="shared" si="303"/>
        <v>1</v>
      </c>
      <c r="AE699" s="12" t="b">
        <f t="shared" si="304"/>
        <v>1</v>
      </c>
      <c r="AF699" s="12" t="b">
        <f t="shared" si="305"/>
        <v>1</v>
      </c>
    </row>
    <row r="700" spans="1:32" s="44" customFormat="1" ht="15.75" customHeight="1">
      <c r="A700" s="285"/>
      <c r="B700" s="48" t="s">
        <v>946</v>
      </c>
      <c r="C700" s="36" t="s">
        <v>95</v>
      </c>
      <c r="D700" s="37" t="s">
        <v>13</v>
      </c>
      <c r="E700" s="37" t="s">
        <v>85</v>
      </c>
      <c r="F700" s="37" t="s">
        <v>696</v>
      </c>
      <c r="G700" s="37" t="s">
        <v>90</v>
      </c>
      <c r="H700" s="183">
        <f>H701+H702</f>
        <v>164.56</v>
      </c>
      <c r="I700" s="183">
        <f>I701+I702</f>
        <v>162.28</v>
      </c>
      <c r="J700" s="183">
        <f>J701+J702</f>
        <v>162.28</v>
      </c>
      <c r="K700" s="183">
        <v>156.03</v>
      </c>
      <c r="L700" s="183">
        <v>162.28</v>
      </c>
      <c r="M700" s="183">
        <v>162.28</v>
      </c>
      <c r="N700" s="43">
        <f t="shared" ref="N700:N763" si="307">K700-H700</f>
        <v>-8.5300000000000011</v>
      </c>
      <c r="O700" s="183">
        <v>156.03</v>
      </c>
      <c r="P700" s="183">
        <v>162.28</v>
      </c>
      <c r="Q700" s="183">
        <v>162.28</v>
      </c>
      <c r="R700" s="472">
        <f t="shared" si="296"/>
        <v>8.5300000000000011</v>
      </c>
      <c r="S700" s="472">
        <f t="shared" si="297"/>
        <v>0</v>
      </c>
      <c r="T700" s="472">
        <f t="shared" si="298"/>
        <v>0</v>
      </c>
      <c r="U700" s="48" t="s">
        <v>946</v>
      </c>
      <c r="V700" s="36" t="s">
        <v>95</v>
      </c>
      <c r="W700" s="37" t="s">
        <v>13</v>
      </c>
      <c r="X700" s="37" t="s">
        <v>85</v>
      </c>
      <c r="Y700" s="37" t="s">
        <v>696</v>
      </c>
      <c r="Z700" s="37" t="s">
        <v>90</v>
      </c>
      <c r="AA700" s="12" t="b">
        <f t="shared" si="300"/>
        <v>1</v>
      </c>
      <c r="AB700" s="12" t="b">
        <f t="shared" si="301"/>
        <v>1</v>
      </c>
      <c r="AC700" s="12" t="b">
        <f t="shared" si="302"/>
        <v>1</v>
      </c>
      <c r="AD700" s="12" t="b">
        <f t="shared" si="303"/>
        <v>1</v>
      </c>
      <c r="AE700" s="12" t="b">
        <f t="shared" si="304"/>
        <v>1</v>
      </c>
      <c r="AF700" s="12" t="b">
        <f t="shared" si="305"/>
        <v>1</v>
      </c>
    </row>
    <row r="701" spans="1:32" s="44" customFormat="1" ht="15.75" customHeight="1">
      <c r="A701" s="285"/>
      <c r="B701" s="182" t="s">
        <v>145</v>
      </c>
      <c r="C701" s="36" t="s">
        <v>95</v>
      </c>
      <c r="D701" s="37" t="s">
        <v>13</v>
      </c>
      <c r="E701" s="37" t="s">
        <v>85</v>
      </c>
      <c r="F701" s="37" t="s">
        <v>696</v>
      </c>
      <c r="G701" s="37" t="s">
        <v>153</v>
      </c>
      <c r="H701" s="183">
        <v>2.36</v>
      </c>
      <c r="I701" s="183">
        <v>2.46</v>
      </c>
      <c r="J701" s="183">
        <v>2.46</v>
      </c>
      <c r="K701" s="183">
        <v>2.36</v>
      </c>
      <c r="L701" s="183">
        <v>2.46</v>
      </c>
      <c r="M701" s="183">
        <v>2.46</v>
      </c>
      <c r="N701" s="43">
        <f t="shared" si="307"/>
        <v>0</v>
      </c>
      <c r="O701" s="183">
        <v>2.36</v>
      </c>
      <c r="P701" s="183">
        <v>2.46</v>
      </c>
      <c r="Q701" s="183">
        <v>2.46</v>
      </c>
      <c r="R701" s="472">
        <f t="shared" si="296"/>
        <v>0</v>
      </c>
      <c r="S701" s="472">
        <f t="shared" si="297"/>
        <v>0</v>
      </c>
      <c r="T701" s="472">
        <f t="shared" si="298"/>
        <v>0</v>
      </c>
      <c r="U701" s="182" t="s">
        <v>145</v>
      </c>
      <c r="V701" s="36" t="s">
        <v>95</v>
      </c>
      <c r="W701" s="37" t="s">
        <v>13</v>
      </c>
      <c r="X701" s="37" t="s">
        <v>85</v>
      </c>
      <c r="Y701" s="37" t="s">
        <v>696</v>
      </c>
      <c r="Z701" s="37" t="s">
        <v>153</v>
      </c>
      <c r="AA701" s="12" t="b">
        <f t="shared" si="300"/>
        <v>1</v>
      </c>
      <c r="AB701" s="12" t="b">
        <f t="shared" si="301"/>
        <v>1</v>
      </c>
      <c r="AC701" s="12" t="b">
        <f t="shared" si="302"/>
        <v>1</v>
      </c>
      <c r="AD701" s="12" t="b">
        <f t="shared" si="303"/>
        <v>1</v>
      </c>
      <c r="AE701" s="12" t="b">
        <f t="shared" si="304"/>
        <v>1</v>
      </c>
      <c r="AF701" s="12" t="b">
        <f t="shared" si="305"/>
        <v>1</v>
      </c>
    </row>
    <row r="702" spans="1:32" s="44" customFormat="1" ht="15.75" customHeight="1">
      <c r="A702" s="285"/>
      <c r="B702" s="23" t="s">
        <v>146</v>
      </c>
      <c r="C702" s="36" t="s">
        <v>95</v>
      </c>
      <c r="D702" s="37" t="s">
        <v>13</v>
      </c>
      <c r="E702" s="37" t="s">
        <v>85</v>
      </c>
      <c r="F702" s="37" t="s">
        <v>696</v>
      </c>
      <c r="G702" s="37" t="s">
        <v>169</v>
      </c>
      <c r="H702" s="183">
        <f>153.67+8.53</f>
        <v>162.19999999999999</v>
      </c>
      <c r="I702" s="183">
        <v>159.82</v>
      </c>
      <c r="J702" s="183">
        <v>159.82</v>
      </c>
      <c r="K702" s="183">
        <v>153.66999999999999</v>
      </c>
      <c r="L702" s="183">
        <v>159.82</v>
      </c>
      <c r="M702" s="183">
        <v>159.82</v>
      </c>
      <c r="N702" s="43">
        <f t="shared" si="307"/>
        <v>-8.5300000000000011</v>
      </c>
      <c r="O702" s="183">
        <v>153.66999999999999</v>
      </c>
      <c r="P702" s="183">
        <v>159.82</v>
      </c>
      <c r="Q702" s="183">
        <v>159.82</v>
      </c>
      <c r="R702" s="472">
        <f t="shared" si="296"/>
        <v>8.5300000000000011</v>
      </c>
      <c r="S702" s="472">
        <f t="shared" si="297"/>
        <v>0</v>
      </c>
      <c r="T702" s="472">
        <f t="shared" si="298"/>
        <v>0</v>
      </c>
      <c r="U702" s="23" t="s">
        <v>146</v>
      </c>
      <c r="V702" s="36" t="s">
        <v>95</v>
      </c>
      <c r="W702" s="37" t="s">
        <v>13</v>
      </c>
      <c r="X702" s="37" t="s">
        <v>85</v>
      </c>
      <c r="Y702" s="37" t="s">
        <v>696</v>
      </c>
      <c r="Z702" s="37" t="s">
        <v>169</v>
      </c>
      <c r="AA702" s="12" t="b">
        <f t="shared" si="300"/>
        <v>1</v>
      </c>
      <c r="AB702" s="12" t="b">
        <f t="shared" si="301"/>
        <v>1</v>
      </c>
      <c r="AC702" s="12" t="b">
        <f t="shared" si="302"/>
        <v>1</v>
      </c>
      <c r="AD702" s="12" t="b">
        <f t="shared" si="303"/>
        <v>1</v>
      </c>
      <c r="AE702" s="12" t="b">
        <f t="shared" si="304"/>
        <v>1</v>
      </c>
      <c r="AF702" s="12" t="b">
        <f t="shared" si="305"/>
        <v>1</v>
      </c>
    </row>
    <row r="703" spans="1:32" s="44" customFormat="1" ht="15.75" customHeight="1">
      <c r="A703" s="285"/>
      <c r="B703" s="48" t="s">
        <v>1064</v>
      </c>
      <c r="C703" s="36" t="s">
        <v>95</v>
      </c>
      <c r="D703" s="37" t="s">
        <v>13</v>
      </c>
      <c r="E703" s="37" t="s">
        <v>85</v>
      </c>
      <c r="F703" s="37" t="s">
        <v>697</v>
      </c>
      <c r="G703" s="37" t="s">
        <v>90</v>
      </c>
      <c r="H703" s="183">
        <f>H704+H705</f>
        <v>1317.5</v>
      </c>
      <c r="I703" s="183">
        <f>I704+I705</f>
        <v>1319.5</v>
      </c>
      <c r="J703" s="183">
        <f>J704+J705</f>
        <v>1319.5</v>
      </c>
      <c r="K703" s="183">
        <v>1319.5</v>
      </c>
      <c r="L703" s="183">
        <v>1319.5</v>
      </c>
      <c r="M703" s="183">
        <v>1319.5</v>
      </c>
      <c r="N703" s="43">
        <f t="shared" si="307"/>
        <v>2</v>
      </c>
      <c r="O703" s="183">
        <v>1319.5</v>
      </c>
      <c r="P703" s="183">
        <v>1319.5</v>
      </c>
      <c r="Q703" s="183">
        <v>1319.5</v>
      </c>
      <c r="R703" s="472">
        <f t="shared" si="296"/>
        <v>-2</v>
      </c>
      <c r="S703" s="472">
        <f t="shared" si="297"/>
        <v>0</v>
      </c>
      <c r="T703" s="472">
        <f t="shared" si="298"/>
        <v>0</v>
      </c>
      <c r="U703" s="48" t="s">
        <v>1064</v>
      </c>
      <c r="V703" s="36" t="s">
        <v>95</v>
      </c>
      <c r="W703" s="37" t="s">
        <v>13</v>
      </c>
      <c r="X703" s="37" t="s">
        <v>85</v>
      </c>
      <c r="Y703" s="37" t="s">
        <v>697</v>
      </c>
      <c r="Z703" s="37" t="s">
        <v>90</v>
      </c>
      <c r="AA703" s="12" t="b">
        <f t="shared" si="300"/>
        <v>1</v>
      </c>
      <c r="AB703" s="12" t="b">
        <f t="shared" si="301"/>
        <v>1</v>
      </c>
      <c r="AC703" s="12" t="b">
        <f t="shared" si="302"/>
        <v>1</v>
      </c>
      <c r="AD703" s="12" t="b">
        <f t="shared" si="303"/>
        <v>1</v>
      </c>
      <c r="AE703" s="12" t="b">
        <f t="shared" si="304"/>
        <v>1</v>
      </c>
      <c r="AF703" s="12" t="b">
        <f t="shared" si="305"/>
        <v>1</v>
      </c>
    </row>
    <row r="704" spans="1:32" s="44" customFormat="1" ht="15.75" customHeight="1">
      <c r="A704" s="285"/>
      <c r="B704" s="182" t="s">
        <v>145</v>
      </c>
      <c r="C704" s="36" t="s">
        <v>95</v>
      </c>
      <c r="D704" s="37" t="s">
        <v>13</v>
      </c>
      <c r="E704" s="37" t="s">
        <v>85</v>
      </c>
      <c r="F704" s="37" t="s">
        <v>697</v>
      </c>
      <c r="G704" s="37" t="s">
        <v>153</v>
      </c>
      <c r="H704" s="183">
        <f>19.5-2</f>
        <v>17.5</v>
      </c>
      <c r="I704" s="183">
        <v>19.5</v>
      </c>
      <c r="J704" s="183">
        <v>19.5</v>
      </c>
      <c r="K704" s="183">
        <v>19.5</v>
      </c>
      <c r="L704" s="183">
        <v>19.5</v>
      </c>
      <c r="M704" s="183">
        <v>19.5</v>
      </c>
      <c r="N704" s="43">
        <f t="shared" si="307"/>
        <v>2</v>
      </c>
      <c r="O704" s="183">
        <v>19.5</v>
      </c>
      <c r="P704" s="183">
        <v>19.5</v>
      </c>
      <c r="Q704" s="183">
        <v>19.5</v>
      </c>
      <c r="R704" s="472">
        <f t="shared" si="296"/>
        <v>-2</v>
      </c>
      <c r="S704" s="472">
        <f t="shared" si="297"/>
        <v>0</v>
      </c>
      <c r="T704" s="472">
        <f t="shared" si="298"/>
        <v>0</v>
      </c>
      <c r="U704" s="182" t="s">
        <v>145</v>
      </c>
      <c r="V704" s="36" t="s">
        <v>95</v>
      </c>
      <c r="W704" s="37" t="s">
        <v>13</v>
      </c>
      <c r="X704" s="37" t="s">
        <v>85</v>
      </c>
      <c r="Y704" s="37" t="s">
        <v>697</v>
      </c>
      <c r="Z704" s="37" t="s">
        <v>153</v>
      </c>
      <c r="AA704" s="12" t="b">
        <f t="shared" si="300"/>
        <v>1</v>
      </c>
      <c r="AB704" s="12" t="b">
        <f t="shared" si="301"/>
        <v>1</v>
      </c>
      <c r="AC704" s="12" t="b">
        <f t="shared" si="302"/>
        <v>1</v>
      </c>
      <c r="AD704" s="12" t="b">
        <f t="shared" si="303"/>
        <v>1</v>
      </c>
      <c r="AE704" s="12" t="b">
        <f t="shared" si="304"/>
        <v>1</v>
      </c>
      <c r="AF704" s="12" t="b">
        <f t="shared" si="305"/>
        <v>1</v>
      </c>
    </row>
    <row r="705" spans="1:32" s="44" customFormat="1" ht="15.75" customHeight="1">
      <c r="A705" s="285"/>
      <c r="B705" s="23" t="s">
        <v>146</v>
      </c>
      <c r="C705" s="36" t="s">
        <v>95</v>
      </c>
      <c r="D705" s="37" t="s">
        <v>13</v>
      </c>
      <c r="E705" s="37" t="s">
        <v>85</v>
      </c>
      <c r="F705" s="37" t="s">
        <v>697</v>
      </c>
      <c r="G705" s="37" t="s">
        <v>169</v>
      </c>
      <c r="H705" s="183">
        <f>1300</f>
        <v>1300</v>
      </c>
      <c r="I705" s="183">
        <v>1300</v>
      </c>
      <c r="J705" s="183">
        <v>1300</v>
      </c>
      <c r="K705" s="183">
        <v>1300</v>
      </c>
      <c r="L705" s="183">
        <v>1300</v>
      </c>
      <c r="M705" s="183">
        <v>1300</v>
      </c>
      <c r="N705" s="43">
        <f t="shared" si="307"/>
        <v>0</v>
      </c>
      <c r="O705" s="183">
        <v>1300</v>
      </c>
      <c r="P705" s="183">
        <v>1300</v>
      </c>
      <c r="Q705" s="183">
        <v>1300</v>
      </c>
      <c r="R705" s="472">
        <f t="shared" si="296"/>
        <v>0</v>
      </c>
      <c r="S705" s="472">
        <f t="shared" si="297"/>
        <v>0</v>
      </c>
      <c r="T705" s="472">
        <f t="shared" si="298"/>
        <v>0</v>
      </c>
      <c r="U705" s="23" t="s">
        <v>146</v>
      </c>
      <c r="V705" s="36" t="s">
        <v>95</v>
      </c>
      <c r="W705" s="37" t="s">
        <v>13</v>
      </c>
      <c r="X705" s="37" t="s">
        <v>85</v>
      </c>
      <c r="Y705" s="37" t="s">
        <v>697</v>
      </c>
      <c r="Z705" s="37" t="s">
        <v>169</v>
      </c>
      <c r="AA705" s="12" t="b">
        <f t="shared" si="300"/>
        <v>1</v>
      </c>
      <c r="AB705" s="12" t="b">
        <f t="shared" si="301"/>
        <v>1</v>
      </c>
      <c r="AC705" s="12" t="b">
        <f t="shared" si="302"/>
        <v>1</v>
      </c>
      <c r="AD705" s="12" t="b">
        <f t="shared" si="303"/>
        <v>1</v>
      </c>
      <c r="AE705" s="12" t="b">
        <f t="shared" si="304"/>
        <v>1</v>
      </c>
      <c r="AF705" s="12" t="b">
        <f t="shared" si="305"/>
        <v>1</v>
      </c>
    </row>
    <row r="706" spans="1:32" s="44" customFormat="1" ht="15.75" customHeight="1">
      <c r="A706" s="285"/>
      <c r="B706" s="178" t="s">
        <v>947</v>
      </c>
      <c r="C706" s="36" t="s">
        <v>95</v>
      </c>
      <c r="D706" s="37" t="s">
        <v>13</v>
      </c>
      <c r="E706" s="37" t="s">
        <v>85</v>
      </c>
      <c r="F706" s="37" t="s">
        <v>698</v>
      </c>
      <c r="G706" s="37" t="s">
        <v>90</v>
      </c>
      <c r="H706" s="183">
        <f>H707+H708</f>
        <v>294029.19</v>
      </c>
      <c r="I706" s="183">
        <f>I707+I708</f>
        <v>310294.28999999998</v>
      </c>
      <c r="J706" s="183">
        <f>J707+J708</f>
        <v>323144.5</v>
      </c>
      <c r="K706" s="183">
        <v>296225.32</v>
      </c>
      <c r="L706" s="183">
        <v>310294.28999999998</v>
      </c>
      <c r="M706" s="183">
        <v>323144.5</v>
      </c>
      <c r="N706" s="43">
        <f t="shared" si="307"/>
        <v>2196.1300000000047</v>
      </c>
      <c r="O706" s="183">
        <v>296225.32</v>
      </c>
      <c r="P706" s="183">
        <v>310294.28999999998</v>
      </c>
      <c r="Q706" s="183">
        <v>323144.5</v>
      </c>
      <c r="R706" s="472">
        <f t="shared" si="296"/>
        <v>-2196.1300000000047</v>
      </c>
      <c r="S706" s="472">
        <f t="shared" si="297"/>
        <v>0</v>
      </c>
      <c r="T706" s="472">
        <f t="shared" si="298"/>
        <v>0</v>
      </c>
      <c r="U706" s="178" t="s">
        <v>947</v>
      </c>
      <c r="V706" s="36" t="s">
        <v>95</v>
      </c>
      <c r="W706" s="37" t="s">
        <v>13</v>
      </c>
      <c r="X706" s="37" t="s">
        <v>85</v>
      </c>
      <c r="Y706" s="37" t="s">
        <v>698</v>
      </c>
      <c r="Z706" s="37" t="s">
        <v>90</v>
      </c>
      <c r="AA706" s="12" t="b">
        <f t="shared" si="300"/>
        <v>1</v>
      </c>
      <c r="AB706" s="12" t="b">
        <f t="shared" si="301"/>
        <v>1</v>
      </c>
      <c r="AC706" s="12" t="b">
        <f t="shared" si="302"/>
        <v>1</v>
      </c>
      <c r="AD706" s="12" t="b">
        <f t="shared" si="303"/>
        <v>1</v>
      </c>
      <c r="AE706" s="12" t="b">
        <f t="shared" si="304"/>
        <v>1</v>
      </c>
      <c r="AF706" s="12" t="b">
        <f t="shared" si="305"/>
        <v>1</v>
      </c>
    </row>
    <row r="707" spans="1:32" s="44" customFormat="1" ht="15.75" customHeight="1">
      <c r="A707" s="285"/>
      <c r="B707" s="182" t="s">
        <v>145</v>
      </c>
      <c r="C707" s="36" t="s">
        <v>95</v>
      </c>
      <c r="D707" s="37" t="s">
        <v>13</v>
      </c>
      <c r="E707" s="37" t="s">
        <v>85</v>
      </c>
      <c r="F707" s="37" t="s">
        <v>698</v>
      </c>
      <c r="G707" s="37" t="s">
        <v>153</v>
      </c>
      <c r="H707" s="183">
        <v>4200</v>
      </c>
      <c r="I707" s="183">
        <v>4200</v>
      </c>
      <c r="J707" s="183">
        <v>4200</v>
      </c>
      <c r="K707" s="183">
        <v>4200</v>
      </c>
      <c r="L707" s="183">
        <v>4200</v>
      </c>
      <c r="M707" s="183">
        <v>4200</v>
      </c>
      <c r="N707" s="43">
        <f t="shared" si="307"/>
        <v>0</v>
      </c>
      <c r="O707" s="183">
        <v>4200</v>
      </c>
      <c r="P707" s="183">
        <v>4200</v>
      </c>
      <c r="Q707" s="183">
        <v>4200</v>
      </c>
      <c r="R707" s="472">
        <f t="shared" si="296"/>
        <v>0</v>
      </c>
      <c r="S707" s="472">
        <f t="shared" si="297"/>
        <v>0</v>
      </c>
      <c r="T707" s="472">
        <f t="shared" si="298"/>
        <v>0</v>
      </c>
      <c r="U707" s="182" t="s">
        <v>145</v>
      </c>
      <c r="V707" s="36" t="s">
        <v>95</v>
      </c>
      <c r="W707" s="37" t="s">
        <v>13</v>
      </c>
      <c r="X707" s="37" t="s">
        <v>85</v>
      </c>
      <c r="Y707" s="37" t="s">
        <v>698</v>
      </c>
      <c r="Z707" s="37" t="s">
        <v>153</v>
      </c>
      <c r="AA707" s="12" t="b">
        <f t="shared" si="300"/>
        <v>1</v>
      </c>
      <c r="AB707" s="12" t="b">
        <f t="shared" si="301"/>
        <v>1</v>
      </c>
      <c r="AC707" s="12" t="b">
        <f t="shared" si="302"/>
        <v>1</v>
      </c>
      <c r="AD707" s="12" t="b">
        <f t="shared" si="303"/>
        <v>1</v>
      </c>
      <c r="AE707" s="12" t="b">
        <f t="shared" si="304"/>
        <v>1</v>
      </c>
      <c r="AF707" s="12" t="b">
        <f t="shared" si="305"/>
        <v>1</v>
      </c>
    </row>
    <row r="708" spans="1:32" s="44" customFormat="1" ht="15.75" customHeight="1">
      <c r="A708" s="285"/>
      <c r="B708" s="23" t="s">
        <v>146</v>
      </c>
      <c r="C708" s="36" t="s">
        <v>95</v>
      </c>
      <c r="D708" s="37" t="s">
        <v>13</v>
      </c>
      <c r="E708" s="37" t="s">
        <v>85</v>
      </c>
      <c r="F708" s="37" t="s">
        <v>698</v>
      </c>
      <c r="G708" s="37" t="s">
        <v>169</v>
      </c>
      <c r="H708" s="183">
        <f>292025.32-2196.13</f>
        <v>289829.19</v>
      </c>
      <c r="I708" s="183">
        <v>306094.28999999998</v>
      </c>
      <c r="J708" s="183">
        <v>318944.5</v>
      </c>
      <c r="K708" s="183">
        <v>292025.32</v>
      </c>
      <c r="L708" s="183">
        <v>306094.28999999998</v>
      </c>
      <c r="M708" s="183">
        <v>318944.5</v>
      </c>
      <c r="N708" s="43">
        <f t="shared" si="307"/>
        <v>2196.1300000000047</v>
      </c>
      <c r="O708" s="183">
        <v>292025.32</v>
      </c>
      <c r="P708" s="183">
        <v>306094.28999999998</v>
      </c>
      <c r="Q708" s="183">
        <v>318944.5</v>
      </c>
      <c r="R708" s="472">
        <f t="shared" si="296"/>
        <v>-2196.1300000000047</v>
      </c>
      <c r="S708" s="472">
        <f t="shared" si="297"/>
        <v>0</v>
      </c>
      <c r="T708" s="472">
        <f t="shared" si="298"/>
        <v>0</v>
      </c>
      <c r="U708" s="23" t="s">
        <v>146</v>
      </c>
      <c r="V708" s="36" t="s">
        <v>95</v>
      </c>
      <c r="W708" s="37" t="s">
        <v>13</v>
      </c>
      <c r="X708" s="37" t="s">
        <v>85</v>
      </c>
      <c r="Y708" s="37" t="s">
        <v>698</v>
      </c>
      <c r="Z708" s="37" t="s">
        <v>169</v>
      </c>
      <c r="AA708" s="12" t="b">
        <f t="shared" si="300"/>
        <v>1</v>
      </c>
      <c r="AB708" s="12" t="b">
        <f t="shared" si="301"/>
        <v>1</v>
      </c>
      <c r="AC708" s="12" t="b">
        <f t="shared" si="302"/>
        <v>1</v>
      </c>
      <c r="AD708" s="12" t="b">
        <f t="shared" si="303"/>
        <v>1</v>
      </c>
      <c r="AE708" s="12" t="b">
        <f t="shared" si="304"/>
        <v>1</v>
      </c>
      <c r="AF708" s="12" t="b">
        <f t="shared" si="305"/>
        <v>1</v>
      </c>
    </row>
    <row r="709" spans="1:32" s="44" customFormat="1" ht="15.75" customHeight="1">
      <c r="A709" s="285"/>
      <c r="B709" s="178" t="s">
        <v>971</v>
      </c>
      <c r="C709" s="36" t="s">
        <v>95</v>
      </c>
      <c r="D709" s="37" t="s">
        <v>13</v>
      </c>
      <c r="E709" s="37" t="s">
        <v>85</v>
      </c>
      <c r="F709" s="37" t="s">
        <v>1019</v>
      </c>
      <c r="G709" s="37" t="s">
        <v>90</v>
      </c>
      <c r="H709" s="183">
        <f>H710+H711</f>
        <v>3725</v>
      </c>
      <c r="I709" s="183">
        <f>I710+I711</f>
        <v>3024.52</v>
      </c>
      <c r="J709" s="183">
        <f>J710+J711</f>
        <v>3024.52</v>
      </c>
      <c r="K709" s="183">
        <v>3024.52</v>
      </c>
      <c r="L709" s="183">
        <v>3024.52</v>
      </c>
      <c r="M709" s="183">
        <v>3024.52</v>
      </c>
      <c r="N709" s="43">
        <f t="shared" si="307"/>
        <v>-700.48</v>
      </c>
      <c r="O709" s="183">
        <v>3024.52</v>
      </c>
      <c r="P709" s="183">
        <v>3024.52</v>
      </c>
      <c r="Q709" s="183">
        <v>3024.52</v>
      </c>
      <c r="R709" s="472">
        <f t="shared" si="296"/>
        <v>700.48</v>
      </c>
      <c r="S709" s="472">
        <f t="shared" si="297"/>
        <v>0</v>
      </c>
      <c r="T709" s="472">
        <f t="shared" si="298"/>
        <v>0</v>
      </c>
      <c r="U709" s="178" t="s">
        <v>971</v>
      </c>
      <c r="V709" s="36" t="s">
        <v>95</v>
      </c>
      <c r="W709" s="37" t="s">
        <v>13</v>
      </c>
      <c r="X709" s="37" t="s">
        <v>85</v>
      </c>
      <c r="Y709" s="37" t="s">
        <v>1019</v>
      </c>
      <c r="Z709" s="37" t="s">
        <v>90</v>
      </c>
      <c r="AA709" s="12" t="b">
        <f t="shared" si="300"/>
        <v>1</v>
      </c>
      <c r="AB709" s="12" t="b">
        <f t="shared" si="301"/>
        <v>1</v>
      </c>
      <c r="AC709" s="12" t="b">
        <f t="shared" si="302"/>
        <v>1</v>
      </c>
      <c r="AD709" s="12" t="b">
        <f t="shared" si="303"/>
        <v>1</v>
      </c>
      <c r="AE709" s="12" t="b">
        <f t="shared" si="304"/>
        <v>1</v>
      </c>
      <c r="AF709" s="12" t="b">
        <f t="shared" si="305"/>
        <v>1</v>
      </c>
    </row>
    <row r="710" spans="1:32" s="44" customFormat="1" ht="15.75" customHeight="1">
      <c r="A710" s="285"/>
      <c r="B710" s="182" t="s">
        <v>145</v>
      </c>
      <c r="C710" s="36" t="s">
        <v>95</v>
      </c>
      <c r="D710" s="37" t="s">
        <v>13</v>
      </c>
      <c r="E710" s="37" t="s">
        <v>85</v>
      </c>
      <c r="F710" s="37" t="s">
        <v>1019</v>
      </c>
      <c r="G710" s="37" t="s">
        <v>153</v>
      </c>
      <c r="H710" s="183">
        <f>24.52+0.48</f>
        <v>25</v>
      </c>
      <c r="I710" s="183">
        <v>24.52</v>
      </c>
      <c r="J710" s="183">
        <v>24.52</v>
      </c>
      <c r="K710" s="183">
        <v>24.52</v>
      </c>
      <c r="L710" s="183">
        <v>24.52</v>
      </c>
      <c r="M710" s="183">
        <v>24.52</v>
      </c>
      <c r="N710" s="43">
        <f t="shared" si="307"/>
        <v>-0.48000000000000043</v>
      </c>
      <c r="O710" s="183">
        <v>24.52</v>
      </c>
      <c r="P710" s="183">
        <v>24.52</v>
      </c>
      <c r="Q710" s="183">
        <v>24.52</v>
      </c>
      <c r="R710" s="472">
        <f t="shared" si="296"/>
        <v>0.48000000000000043</v>
      </c>
      <c r="S710" s="472">
        <f t="shared" si="297"/>
        <v>0</v>
      </c>
      <c r="T710" s="472">
        <f t="shared" si="298"/>
        <v>0</v>
      </c>
      <c r="U710" s="182" t="s">
        <v>145</v>
      </c>
      <c r="V710" s="36" t="s">
        <v>95</v>
      </c>
      <c r="W710" s="37" t="s">
        <v>13</v>
      </c>
      <c r="X710" s="37" t="s">
        <v>85</v>
      </c>
      <c r="Y710" s="37" t="s">
        <v>1019</v>
      </c>
      <c r="Z710" s="37" t="s">
        <v>153</v>
      </c>
      <c r="AA710" s="12" t="b">
        <f t="shared" si="300"/>
        <v>1</v>
      </c>
      <c r="AB710" s="12" t="b">
        <f t="shared" si="301"/>
        <v>1</v>
      </c>
      <c r="AC710" s="12" t="b">
        <f t="shared" si="302"/>
        <v>1</v>
      </c>
      <c r="AD710" s="12" t="b">
        <f t="shared" si="303"/>
        <v>1</v>
      </c>
      <c r="AE710" s="12" t="b">
        <f t="shared" si="304"/>
        <v>1</v>
      </c>
      <c r="AF710" s="12" t="b">
        <f t="shared" si="305"/>
        <v>1</v>
      </c>
    </row>
    <row r="711" spans="1:32" s="44" customFormat="1" ht="15.75" customHeight="1">
      <c r="A711" s="285"/>
      <c r="B711" s="23" t="s">
        <v>147</v>
      </c>
      <c r="C711" s="36" t="s">
        <v>95</v>
      </c>
      <c r="D711" s="37" t="s">
        <v>13</v>
      </c>
      <c r="E711" s="37" t="s">
        <v>85</v>
      </c>
      <c r="F711" s="37" t="s">
        <v>1019</v>
      </c>
      <c r="G711" s="37" t="s">
        <v>154</v>
      </c>
      <c r="H711" s="183">
        <f>3000+700</f>
        <v>3700</v>
      </c>
      <c r="I711" s="183">
        <v>3000</v>
      </c>
      <c r="J711" s="183">
        <v>3000</v>
      </c>
      <c r="K711" s="183">
        <v>3000</v>
      </c>
      <c r="L711" s="183">
        <v>3000</v>
      </c>
      <c r="M711" s="183">
        <v>3000</v>
      </c>
      <c r="N711" s="43">
        <f t="shared" si="307"/>
        <v>-700</v>
      </c>
      <c r="O711" s="183">
        <v>3000</v>
      </c>
      <c r="P711" s="183">
        <v>3000</v>
      </c>
      <c r="Q711" s="183">
        <v>3000</v>
      </c>
      <c r="R711" s="472">
        <f t="shared" si="296"/>
        <v>700</v>
      </c>
      <c r="S711" s="472">
        <f t="shared" si="297"/>
        <v>0</v>
      </c>
      <c r="T711" s="472">
        <f t="shared" si="298"/>
        <v>0</v>
      </c>
      <c r="U711" s="23" t="s">
        <v>147</v>
      </c>
      <c r="V711" s="36" t="s">
        <v>95</v>
      </c>
      <c r="W711" s="37" t="s">
        <v>13</v>
      </c>
      <c r="X711" s="37" t="s">
        <v>85</v>
      </c>
      <c r="Y711" s="37" t="s">
        <v>1019</v>
      </c>
      <c r="Z711" s="37" t="s">
        <v>154</v>
      </c>
      <c r="AA711" s="12" t="b">
        <f t="shared" si="300"/>
        <v>1</v>
      </c>
      <c r="AB711" s="12" t="b">
        <f t="shared" si="301"/>
        <v>1</v>
      </c>
      <c r="AC711" s="12" t="b">
        <f t="shared" si="302"/>
        <v>1</v>
      </c>
      <c r="AD711" s="12" t="b">
        <f t="shared" si="303"/>
        <v>1</v>
      </c>
      <c r="AE711" s="12" t="b">
        <f t="shared" si="304"/>
        <v>1</v>
      </c>
      <c r="AF711" s="12" t="b">
        <f t="shared" si="305"/>
        <v>1</v>
      </c>
    </row>
    <row r="712" spans="1:32" s="44" customFormat="1" ht="15.75" customHeight="1">
      <c r="A712" s="285"/>
      <c r="B712" s="178" t="s">
        <v>1063</v>
      </c>
      <c r="C712" s="36" t="s">
        <v>95</v>
      </c>
      <c r="D712" s="37" t="s">
        <v>13</v>
      </c>
      <c r="E712" s="37" t="s">
        <v>85</v>
      </c>
      <c r="F712" s="37" t="s">
        <v>1062</v>
      </c>
      <c r="G712" s="37" t="s">
        <v>90</v>
      </c>
      <c r="H712" s="183">
        <f>H713</f>
        <v>2359.8000000000002</v>
      </c>
      <c r="I712" s="183">
        <f>I713</f>
        <v>2359.8000000000002</v>
      </c>
      <c r="J712" s="183">
        <f>J713</f>
        <v>2359.8000000000002</v>
      </c>
      <c r="K712" s="183">
        <v>2359.8000000000002</v>
      </c>
      <c r="L712" s="183">
        <v>2359.8000000000002</v>
      </c>
      <c r="M712" s="183">
        <v>2359.8000000000002</v>
      </c>
      <c r="N712" s="43">
        <f t="shared" si="307"/>
        <v>0</v>
      </c>
      <c r="O712" s="183">
        <v>2359.8000000000002</v>
      </c>
      <c r="P712" s="183">
        <v>2359.8000000000002</v>
      </c>
      <c r="Q712" s="183">
        <v>2359.8000000000002</v>
      </c>
      <c r="R712" s="472">
        <f t="shared" si="296"/>
        <v>0</v>
      </c>
      <c r="S712" s="472">
        <f t="shared" si="297"/>
        <v>0</v>
      </c>
      <c r="T712" s="472">
        <f t="shared" si="298"/>
        <v>0</v>
      </c>
      <c r="U712" s="178" t="s">
        <v>1063</v>
      </c>
      <c r="V712" s="36" t="s">
        <v>95</v>
      </c>
      <c r="W712" s="37" t="s">
        <v>13</v>
      </c>
      <c r="X712" s="37" t="s">
        <v>85</v>
      </c>
      <c r="Y712" s="37" t="s">
        <v>1062</v>
      </c>
      <c r="Z712" s="37" t="s">
        <v>90</v>
      </c>
      <c r="AA712" s="12" t="b">
        <f t="shared" si="300"/>
        <v>1</v>
      </c>
      <c r="AB712" s="12" t="b">
        <f t="shared" si="301"/>
        <v>1</v>
      </c>
      <c r="AC712" s="12" t="b">
        <f t="shared" si="302"/>
        <v>1</v>
      </c>
      <c r="AD712" s="12" t="b">
        <f t="shared" si="303"/>
        <v>1</v>
      </c>
      <c r="AE712" s="12" t="b">
        <f t="shared" si="304"/>
        <v>1</v>
      </c>
      <c r="AF712" s="12" t="b">
        <f t="shared" si="305"/>
        <v>1</v>
      </c>
    </row>
    <row r="713" spans="1:32" s="44" customFormat="1" ht="15.75" customHeight="1">
      <c r="A713" s="285"/>
      <c r="B713" s="23" t="s">
        <v>146</v>
      </c>
      <c r="C713" s="36" t="s">
        <v>95</v>
      </c>
      <c r="D713" s="37" t="s">
        <v>13</v>
      </c>
      <c r="E713" s="37" t="s">
        <v>85</v>
      </c>
      <c r="F713" s="37" t="s">
        <v>1062</v>
      </c>
      <c r="G713" s="37" t="s">
        <v>169</v>
      </c>
      <c r="H713" s="183">
        <v>2359.8000000000002</v>
      </c>
      <c r="I713" s="183">
        <v>2359.8000000000002</v>
      </c>
      <c r="J713" s="183">
        <v>2359.8000000000002</v>
      </c>
      <c r="K713" s="183">
        <v>2359.8000000000002</v>
      </c>
      <c r="L713" s="183">
        <v>2359.8000000000002</v>
      </c>
      <c r="M713" s="183">
        <v>2359.8000000000002</v>
      </c>
      <c r="N713" s="43">
        <f t="shared" si="307"/>
        <v>0</v>
      </c>
      <c r="O713" s="183">
        <v>2359.8000000000002</v>
      </c>
      <c r="P713" s="183">
        <v>2359.8000000000002</v>
      </c>
      <c r="Q713" s="183">
        <v>2359.8000000000002</v>
      </c>
      <c r="R713" s="472">
        <f t="shared" si="296"/>
        <v>0</v>
      </c>
      <c r="S713" s="472">
        <f t="shared" si="297"/>
        <v>0</v>
      </c>
      <c r="T713" s="472">
        <f t="shared" si="298"/>
        <v>0</v>
      </c>
      <c r="U713" s="23" t="s">
        <v>146</v>
      </c>
      <c r="V713" s="36" t="s">
        <v>95</v>
      </c>
      <c r="W713" s="37" t="s">
        <v>13</v>
      </c>
      <c r="X713" s="37" t="s">
        <v>85</v>
      </c>
      <c r="Y713" s="37" t="s">
        <v>1062</v>
      </c>
      <c r="Z713" s="37" t="s">
        <v>169</v>
      </c>
      <c r="AA713" s="12" t="b">
        <f t="shared" si="300"/>
        <v>1</v>
      </c>
      <c r="AB713" s="12" t="b">
        <f t="shared" si="301"/>
        <v>1</v>
      </c>
      <c r="AC713" s="12" t="b">
        <f t="shared" si="302"/>
        <v>1</v>
      </c>
      <c r="AD713" s="12" t="b">
        <f t="shared" si="303"/>
        <v>1</v>
      </c>
      <c r="AE713" s="12" t="b">
        <f t="shared" si="304"/>
        <v>1</v>
      </c>
      <c r="AF713" s="12" t="b">
        <f t="shared" si="305"/>
        <v>1</v>
      </c>
    </row>
    <row r="714" spans="1:32" s="44" customFormat="1" ht="15.75" customHeight="1">
      <c r="A714" s="285"/>
      <c r="B714" s="23" t="s">
        <v>1020</v>
      </c>
      <c r="C714" s="36" t="s">
        <v>95</v>
      </c>
      <c r="D714" s="37" t="s">
        <v>13</v>
      </c>
      <c r="E714" s="37" t="s">
        <v>85</v>
      </c>
      <c r="F714" s="37" t="s">
        <v>1003</v>
      </c>
      <c r="G714" s="37" t="s">
        <v>90</v>
      </c>
      <c r="H714" s="183">
        <f>H715</f>
        <v>139389.66</v>
      </c>
      <c r="I714" s="183">
        <f>I715</f>
        <v>139389.66</v>
      </c>
      <c r="J714" s="183">
        <f>J715</f>
        <v>142407.37</v>
      </c>
      <c r="K714" s="183">
        <v>92391.08</v>
      </c>
      <c r="L714" s="183">
        <v>94489.61</v>
      </c>
      <c r="M714" s="183">
        <v>94489.61</v>
      </c>
      <c r="N714" s="43">
        <f t="shared" si="307"/>
        <v>-46998.58</v>
      </c>
      <c r="O714" s="183">
        <v>92391.08</v>
      </c>
      <c r="P714" s="183">
        <v>94489.61</v>
      </c>
      <c r="Q714" s="183">
        <v>94489.61</v>
      </c>
      <c r="R714" s="472">
        <f t="shared" si="296"/>
        <v>46998.58</v>
      </c>
      <c r="S714" s="472">
        <f t="shared" si="297"/>
        <v>44900.05</v>
      </c>
      <c r="T714" s="472">
        <f t="shared" si="298"/>
        <v>47917.759999999995</v>
      </c>
      <c r="U714" s="23" t="s">
        <v>1020</v>
      </c>
      <c r="V714" s="36" t="s">
        <v>95</v>
      </c>
      <c r="W714" s="37" t="s">
        <v>13</v>
      </c>
      <c r="X714" s="37" t="s">
        <v>85</v>
      </c>
      <c r="Y714" s="37" t="s">
        <v>1003</v>
      </c>
      <c r="Z714" s="37" t="s">
        <v>90</v>
      </c>
      <c r="AA714" s="12" t="b">
        <f t="shared" si="300"/>
        <v>1</v>
      </c>
      <c r="AB714" s="12" t="b">
        <f t="shared" si="301"/>
        <v>1</v>
      </c>
      <c r="AC714" s="12" t="b">
        <f t="shared" si="302"/>
        <v>1</v>
      </c>
      <c r="AD714" s="12" t="b">
        <f t="shared" si="303"/>
        <v>1</v>
      </c>
      <c r="AE714" s="12" t="b">
        <f t="shared" si="304"/>
        <v>1</v>
      </c>
      <c r="AF714" s="12" t="b">
        <f t="shared" si="305"/>
        <v>1</v>
      </c>
    </row>
    <row r="715" spans="1:32" s="44" customFormat="1" ht="15.75" customHeight="1">
      <c r="A715" s="285" t="s">
        <v>799</v>
      </c>
      <c r="B715" s="23" t="s">
        <v>147</v>
      </c>
      <c r="C715" s="36" t="s">
        <v>95</v>
      </c>
      <c r="D715" s="37" t="s">
        <v>13</v>
      </c>
      <c r="E715" s="37" t="s">
        <v>85</v>
      </c>
      <c r="F715" s="37" t="s">
        <v>1003</v>
      </c>
      <c r="G715" s="37" t="s">
        <v>154</v>
      </c>
      <c r="H715" s="183">
        <f>92391.08+46998.58</f>
        <v>139389.66</v>
      </c>
      <c r="I715" s="183">
        <f>94489.61+44900.05</f>
        <v>139389.66</v>
      </c>
      <c r="J715" s="183">
        <f>94489.61+47917.76</f>
        <v>142407.37</v>
      </c>
      <c r="K715" s="183">
        <v>92391.08</v>
      </c>
      <c r="L715" s="183">
        <v>94489.61</v>
      </c>
      <c r="M715" s="183">
        <v>94489.61</v>
      </c>
      <c r="N715" s="43">
        <f t="shared" si="307"/>
        <v>-46998.58</v>
      </c>
      <c r="O715" s="183">
        <v>92391.08</v>
      </c>
      <c r="P715" s="183">
        <v>94489.61</v>
      </c>
      <c r="Q715" s="183">
        <v>94489.61</v>
      </c>
      <c r="R715" s="472">
        <f t="shared" si="296"/>
        <v>46998.58</v>
      </c>
      <c r="S715" s="472">
        <f t="shared" si="297"/>
        <v>44900.05</v>
      </c>
      <c r="T715" s="472">
        <f t="shared" si="298"/>
        <v>47917.759999999995</v>
      </c>
      <c r="U715" s="23" t="s">
        <v>147</v>
      </c>
      <c r="V715" s="36" t="s">
        <v>95</v>
      </c>
      <c r="W715" s="37" t="s">
        <v>13</v>
      </c>
      <c r="X715" s="37" t="s">
        <v>85</v>
      </c>
      <c r="Y715" s="37" t="s">
        <v>1003</v>
      </c>
      <c r="Z715" s="37" t="s">
        <v>154</v>
      </c>
      <c r="AA715" s="12" t="b">
        <f t="shared" si="300"/>
        <v>1</v>
      </c>
      <c r="AB715" s="12" t="b">
        <f t="shared" si="301"/>
        <v>1</v>
      </c>
      <c r="AC715" s="12" t="b">
        <f t="shared" si="302"/>
        <v>1</v>
      </c>
      <c r="AD715" s="12" t="b">
        <f t="shared" si="303"/>
        <v>1</v>
      </c>
      <c r="AE715" s="12" t="b">
        <f t="shared" si="304"/>
        <v>1</v>
      </c>
      <c r="AF715" s="12" t="b">
        <f t="shared" si="305"/>
        <v>1</v>
      </c>
    </row>
    <row r="716" spans="1:32" s="44" customFormat="1" ht="15.75" customHeight="1">
      <c r="A716" s="285"/>
      <c r="B716" s="46" t="s">
        <v>372</v>
      </c>
      <c r="C716" s="36" t="s">
        <v>95</v>
      </c>
      <c r="D716" s="37" t="s">
        <v>13</v>
      </c>
      <c r="E716" s="37" t="s">
        <v>85</v>
      </c>
      <c r="F716" s="37" t="s">
        <v>373</v>
      </c>
      <c r="G716" s="37" t="s">
        <v>90</v>
      </c>
      <c r="H716" s="183">
        <f>H717</f>
        <v>578.69999999999993</v>
      </c>
      <c r="I716" s="183">
        <f>I717</f>
        <v>570.47</v>
      </c>
      <c r="J716" s="183">
        <f>J717</f>
        <v>593.29999999999995</v>
      </c>
      <c r="K716" s="183">
        <v>548.54</v>
      </c>
      <c r="L716" s="183">
        <v>570.47</v>
      </c>
      <c r="M716" s="183">
        <v>593.29999999999995</v>
      </c>
      <c r="N716" s="43">
        <f t="shared" si="307"/>
        <v>-30.159999999999968</v>
      </c>
      <c r="O716" s="183">
        <v>548.54</v>
      </c>
      <c r="P716" s="183">
        <v>570.47</v>
      </c>
      <c r="Q716" s="183">
        <v>593.29999999999995</v>
      </c>
      <c r="R716" s="472">
        <f t="shared" si="296"/>
        <v>30.159999999999968</v>
      </c>
      <c r="S716" s="472">
        <f t="shared" si="297"/>
        <v>0</v>
      </c>
      <c r="T716" s="472">
        <f t="shared" si="298"/>
        <v>0</v>
      </c>
      <c r="U716" s="46" t="s">
        <v>372</v>
      </c>
      <c r="V716" s="36" t="s">
        <v>95</v>
      </c>
      <c r="W716" s="37" t="s">
        <v>13</v>
      </c>
      <c r="X716" s="37" t="s">
        <v>85</v>
      </c>
      <c r="Y716" s="37" t="s">
        <v>373</v>
      </c>
      <c r="Z716" s="37" t="s">
        <v>90</v>
      </c>
      <c r="AA716" s="12" t="b">
        <f t="shared" si="300"/>
        <v>1</v>
      </c>
      <c r="AB716" s="12" t="b">
        <f t="shared" si="301"/>
        <v>1</v>
      </c>
      <c r="AC716" s="12" t="b">
        <f t="shared" si="302"/>
        <v>1</v>
      </c>
      <c r="AD716" s="12" t="b">
        <f t="shared" si="303"/>
        <v>1</v>
      </c>
      <c r="AE716" s="12" t="b">
        <f t="shared" si="304"/>
        <v>1</v>
      </c>
      <c r="AF716" s="12" t="b">
        <f t="shared" si="305"/>
        <v>1</v>
      </c>
    </row>
    <row r="717" spans="1:32" s="44" customFormat="1" ht="15.75" customHeight="1">
      <c r="A717" s="285"/>
      <c r="B717" s="48" t="s">
        <v>1088</v>
      </c>
      <c r="C717" s="36" t="s">
        <v>95</v>
      </c>
      <c r="D717" s="37" t="s">
        <v>13</v>
      </c>
      <c r="E717" s="37" t="s">
        <v>85</v>
      </c>
      <c r="F717" s="37" t="s">
        <v>374</v>
      </c>
      <c r="G717" s="37" t="s">
        <v>90</v>
      </c>
      <c r="H717" s="183">
        <f>H718+H719</f>
        <v>578.69999999999993</v>
      </c>
      <c r="I717" s="183">
        <f>I718+I719</f>
        <v>570.47</v>
      </c>
      <c r="J717" s="183">
        <f>J718+J719</f>
        <v>593.29999999999995</v>
      </c>
      <c r="K717" s="183">
        <v>548.54</v>
      </c>
      <c r="L717" s="183">
        <v>570.47</v>
      </c>
      <c r="M717" s="183">
        <v>593.29999999999995</v>
      </c>
      <c r="N717" s="43">
        <f t="shared" si="307"/>
        <v>-30.159999999999968</v>
      </c>
      <c r="O717" s="183">
        <v>548.54</v>
      </c>
      <c r="P717" s="183">
        <v>570.47</v>
      </c>
      <c r="Q717" s="183">
        <v>593.29999999999995</v>
      </c>
      <c r="R717" s="472">
        <f t="shared" si="296"/>
        <v>30.159999999999968</v>
      </c>
      <c r="S717" s="472">
        <f t="shared" si="297"/>
        <v>0</v>
      </c>
      <c r="T717" s="472">
        <f t="shared" si="298"/>
        <v>0</v>
      </c>
      <c r="U717" s="48" t="s">
        <v>1088</v>
      </c>
      <c r="V717" s="36" t="s">
        <v>95</v>
      </c>
      <c r="W717" s="37" t="s">
        <v>13</v>
      </c>
      <c r="X717" s="37" t="s">
        <v>85</v>
      </c>
      <c r="Y717" s="37" t="s">
        <v>374</v>
      </c>
      <c r="Z717" s="37" t="s">
        <v>90</v>
      </c>
      <c r="AA717" s="12" t="b">
        <f t="shared" si="300"/>
        <v>1</v>
      </c>
      <c r="AB717" s="12" t="b">
        <f t="shared" si="301"/>
        <v>1</v>
      </c>
      <c r="AC717" s="12" t="b">
        <f t="shared" si="302"/>
        <v>1</v>
      </c>
      <c r="AD717" s="12" t="b">
        <f t="shared" si="303"/>
        <v>1</v>
      </c>
      <c r="AE717" s="12" t="b">
        <f t="shared" si="304"/>
        <v>1</v>
      </c>
      <c r="AF717" s="12" t="b">
        <f t="shared" si="305"/>
        <v>1</v>
      </c>
    </row>
    <row r="718" spans="1:32" s="44" customFormat="1" ht="15.75" customHeight="1">
      <c r="A718" s="285"/>
      <c r="B718" s="182" t="s">
        <v>145</v>
      </c>
      <c r="C718" s="36" t="s">
        <v>95</v>
      </c>
      <c r="D718" s="37" t="s">
        <v>13</v>
      </c>
      <c r="E718" s="37" t="s">
        <v>85</v>
      </c>
      <c r="F718" s="37" t="s">
        <v>374</v>
      </c>
      <c r="G718" s="37" t="s">
        <v>153</v>
      </c>
      <c r="H718" s="183">
        <v>6.54</v>
      </c>
      <c r="I718" s="183">
        <v>6.4</v>
      </c>
      <c r="J718" s="183">
        <v>7</v>
      </c>
      <c r="K718" s="183">
        <v>6.54</v>
      </c>
      <c r="L718" s="183">
        <v>6.4</v>
      </c>
      <c r="M718" s="183">
        <v>7</v>
      </c>
      <c r="N718" s="43">
        <f t="shared" si="307"/>
        <v>0</v>
      </c>
      <c r="O718" s="183">
        <v>6.54</v>
      </c>
      <c r="P718" s="183">
        <v>6.4</v>
      </c>
      <c r="Q718" s="183">
        <v>7</v>
      </c>
      <c r="R718" s="472">
        <f t="shared" si="296"/>
        <v>0</v>
      </c>
      <c r="S718" s="472">
        <f t="shared" si="297"/>
        <v>0</v>
      </c>
      <c r="T718" s="472">
        <f t="shared" si="298"/>
        <v>0</v>
      </c>
      <c r="U718" s="182" t="s">
        <v>145</v>
      </c>
      <c r="V718" s="36" t="s">
        <v>95</v>
      </c>
      <c r="W718" s="37" t="s">
        <v>13</v>
      </c>
      <c r="X718" s="37" t="s">
        <v>85</v>
      </c>
      <c r="Y718" s="37" t="s">
        <v>374</v>
      </c>
      <c r="Z718" s="37" t="s">
        <v>153</v>
      </c>
      <c r="AA718" s="12" t="b">
        <f t="shared" si="300"/>
        <v>1</v>
      </c>
      <c r="AB718" s="12" t="b">
        <f t="shared" si="301"/>
        <v>1</v>
      </c>
      <c r="AC718" s="12" t="b">
        <f t="shared" si="302"/>
        <v>1</v>
      </c>
      <c r="AD718" s="12" t="b">
        <f t="shared" si="303"/>
        <v>1</v>
      </c>
      <c r="AE718" s="12" t="b">
        <f t="shared" si="304"/>
        <v>1</v>
      </c>
      <c r="AF718" s="12" t="b">
        <f t="shared" si="305"/>
        <v>1</v>
      </c>
    </row>
    <row r="719" spans="1:32" s="44" customFormat="1" ht="15.75" customHeight="1">
      <c r="A719" s="285"/>
      <c r="B719" s="23" t="s">
        <v>146</v>
      </c>
      <c r="C719" s="36" t="s">
        <v>95</v>
      </c>
      <c r="D719" s="37" t="s">
        <v>13</v>
      </c>
      <c r="E719" s="37" t="s">
        <v>85</v>
      </c>
      <c r="F719" s="37" t="s">
        <v>374</v>
      </c>
      <c r="G719" s="37" t="s">
        <v>169</v>
      </c>
      <c r="H719" s="183">
        <f>542+30.16</f>
        <v>572.16</v>
      </c>
      <c r="I719" s="183">
        <v>564.07000000000005</v>
      </c>
      <c r="J719" s="183">
        <v>586.29999999999995</v>
      </c>
      <c r="K719" s="183">
        <v>542</v>
      </c>
      <c r="L719" s="183">
        <v>564.07000000000005</v>
      </c>
      <c r="M719" s="183">
        <v>586.29999999999995</v>
      </c>
      <c r="N719" s="43">
        <f t="shared" si="307"/>
        <v>-30.159999999999968</v>
      </c>
      <c r="O719" s="183">
        <v>542</v>
      </c>
      <c r="P719" s="183">
        <v>564.07000000000005</v>
      </c>
      <c r="Q719" s="183">
        <v>586.29999999999995</v>
      </c>
      <c r="R719" s="472">
        <f t="shared" si="296"/>
        <v>30.159999999999968</v>
      </c>
      <c r="S719" s="472">
        <f t="shared" si="297"/>
        <v>0</v>
      </c>
      <c r="T719" s="472">
        <f t="shared" si="298"/>
        <v>0</v>
      </c>
      <c r="U719" s="23" t="s">
        <v>146</v>
      </c>
      <c r="V719" s="36" t="s">
        <v>95</v>
      </c>
      <c r="W719" s="37" t="s">
        <v>13</v>
      </c>
      <c r="X719" s="37" t="s">
        <v>85</v>
      </c>
      <c r="Y719" s="37" t="s">
        <v>374</v>
      </c>
      <c r="Z719" s="37" t="s">
        <v>169</v>
      </c>
      <c r="AA719" s="12" t="b">
        <f t="shared" si="300"/>
        <v>1</v>
      </c>
      <c r="AB719" s="12" t="b">
        <f t="shared" si="301"/>
        <v>1</v>
      </c>
      <c r="AC719" s="12" t="b">
        <f t="shared" si="302"/>
        <v>1</v>
      </c>
      <c r="AD719" s="12" t="b">
        <f t="shared" si="303"/>
        <v>1</v>
      </c>
      <c r="AE719" s="12" t="b">
        <f t="shared" si="304"/>
        <v>1</v>
      </c>
      <c r="AF719" s="12" t="b">
        <f t="shared" si="305"/>
        <v>1</v>
      </c>
    </row>
    <row r="720" spans="1:32" s="44" customFormat="1" ht="15.75" customHeight="1">
      <c r="A720" s="285"/>
      <c r="B720" s="23" t="s">
        <v>729</v>
      </c>
      <c r="C720" s="36" t="s">
        <v>95</v>
      </c>
      <c r="D720" s="37" t="s">
        <v>13</v>
      </c>
      <c r="E720" s="37" t="s">
        <v>85</v>
      </c>
      <c r="F720" s="37" t="s">
        <v>314</v>
      </c>
      <c r="G720" s="37" t="s">
        <v>90</v>
      </c>
      <c r="H720" s="183">
        <f>H721+H751+H754+H757+H748</f>
        <v>54633.62</v>
      </c>
      <c r="I720" s="183">
        <f>I721+I751+I754+I757+I748</f>
        <v>54439.4</v>
      </c>
      <c r="J720" s="183">
        <f>J721+J751+J754+J757+J748</f>
        <v>54439.4</v>
      </c>
      <c r="K720" s="183">
        <v>54633.62</v>
      </c>
      <c r="L720" s="183">
        <v>54439.4</v>
      </c>
      <c r="M720" s="183">
        <v>54439.4</v>
      </c>
      <c r="N720" s="43">
        <f t="shared" si="307"/>
        <v>0</v>
      </c>
      <c r="O720" s="183">
        <v>54633.62</v>
      </c>
      <c r="P720" s="183">
        <v>54439.4</v>
      </c>
      <c r="Q720" s="183">
        <v>54439.4</v>
      </c>
      <c r="R720" s="472">
        <f t="shared" si="296"/>
        <v>0</v>
      </c>
      <c r="S720" s="472">
        <f t="shared" si="297"/>
        <v>0</v>
      </c>
      <c r="T720" s="472">
        <f t="shared" si="298"/>
        <v>0</v>
      </c>
      <c r="U720" s="23" t="s">
        <v>729</v>
      </c>
      <c r="V720" s="36" t="s">
        <v>95</v>
      </c>
      <c r="W720" s="37" t="s">
        <v>13</v>
      </c>
      <c r="X720" s="37" t="s">
        <v>85</v>
      </c>
      <c r="Y720" s="37" t="s">
        <v>314</v>
      </c>
      <c r="Z720" s="37" t="s">
        <v>90</v>
      </c>
      <c r="AA720" s="12" t="b">
        <f t="shared" si="300"/>
        <v>1</v>
      </c>
      <c r="AB720" s="12" t="b">
        <f t="shared" si="301"/>
        <v>1</v>
      </c>
      <c r="AC720" s="12" t="b">
        <f t="shared" si="302"/>
        <v>1</v>
      </c>
      <c r="AD720" s="12" t="b">
        <f t="shared" si="303"/>
        <v>1</v>
      </c>
      <c r="AE720" s="12" t="b">
        <f t="shared" si="304"/>
        <v>1</v>
      </c>
      <c r="AF720" s="12" t="b">
        <f t="shared" si="305"/>
        <v>1</v>
      </c>
    </row>
    <row r="721" spans="1:32" s="44" customFormat="1" ht="15.75" customHeight="1">
      <c r="A721" s="285"/>
      <c r="B721" s="46" t="s">
        <v>546</v>
      </c>
      <c r="C721" s="36" t="s">
        <v>95</v>
      </c>
      <c r="D721" s="37" t="s">
        <v>13</v>
      </c>
      <c r="E721" s="37" t="s">
        <v>85</v>
      </c>
      <c r="F721" s="37" t="s">
        <v>376</v>
      </c>
      <c r="G721" s="37" t="s">
        <v>90</v>
      </c>
      <c r="H721" s="183">
        <f>H722+H724+H728+H730+H732+H734+H738+H740+H742+H726+H736+H744+H746</f>
        <v>37851.719999999994</v>
      </c>
      <c r="I721" s="183">
        <f t="shared" ref="I721:J721" si="308">I722+I724+I728+I730+I732+I734+I738+I740+I742+I726+I736+I744+I746</f>
        <v>37799.799999999996</v>
      </c>
      <c r="J721" s="183">
        <f t="shared" si="308"/>
        <v>37799.799999999996</v>
      </c>
      <c r="K721" s="183">
        <v>37851.719999999994</v>
      </c>
      <c r="L721" s="183">
        <v>37799.799999999996</v>
      </c>
      <c r="M721" s="183">
        <v>37799.799999999996</v>
      </c>
      <c r="N721" s="43">
        <f t="shared" si="307"/>
        <v>0</v>
      </c>
      <c r="O721" s="183">
        <v>37851.719999999994</v>
      </c>
      <c r="P721" s="183">
        <v>37799.799999999996</v>
      </c>
      <c r="Q721" s="183">
        <v>37799.799999999996</v>
      </c>
      <c r="R721" s="472">
        <f t="shared" si="296"/>
        <v>0</v>
      </c>
      <c r="S721" s="472">
        <f t="shared" si="297"/>
        <v>0</v>
      </c>
      <c r="T721" s="472">
        <f t="shared" si="298"/>
        <v>0</v>
      </c>
      <c r="U721" s="46" t="s">
        <v>546</v>
      </c>
      <c r="V721" s="36" t="s">
        <v>95</v>
      </c>
      <c r="W721" s="37" t="s">
        <v>13</v>
      </c>
      <c r="X721" s="37" t="s">
        <v>85</v>
      </c>
      <c r="Y721" s="37" t="s">
        <v>376</v>
      </c>
      <c r="Z721" s="37" t="s">
        <v>90</v>
      </c>
      <c r="AA721" s="12" t="b">
        <f t="shared" si="300"/>
        <v>1</v>
      </c>
      <c r="AB721" s="12" t="b">
        <f t="shared" si="301"/>
        <v>1</v>
      </c>
      <c r="AC721" s="12" t="b">
        <f t="shared" si="302"/>
        <v>1</v>
      </c>
      <c r="AD721" s="12" t="b">
        <f t="shared" si="303"/>
        <v>1</v>
      </c>
      <c r="AE721" s="12" t="b">
        <f t="shared" si="304"/>
        <v>1</v>
      </c>
      <c r="AF721" s="12" t="b">
        <f t="shared" si="305"/>
        <v>1</v>
      </c>
    </row>
    <row r="722" spans="1:32" s="44" customFormat="1" ht="63.75">
      <c r="A722" s="285"/>
      <c r="B722" s="178" t="s">
        <v>948</v>
      </c>
      <c r="C722" s="36" t="s">
        <v>95</v>
      </c>
      <c r="D722" s="37" t="s">
        <v>13</v>
      </c>
      <c r="E722" s="37" t="s">
        <v>85</v>
      </c>
      <c r="F722" s="37" t="s">
        <v>377</v>
      </c>
      <c r="G722" s="37" t="s">
        <v>90</v>
      </c>
      <c r="H722" s="183">
        <f t="shared" ref="H722:J722" si="309">H723</f>
        <v>4049.51</v>
      </c>
      <c r="I722" s="183">
        <f t="shared" si="309"/>
        <v>4049.51</v>
      </c>
      <c r="J722" s="183">
        <f t="shared" si="309"/>
        <v>4049.51</v>
      </c>
      <c r="K722" s="183">
        <v>4049.51</v>
      </c>
      <c r="L722" s="183">
        <v>4049.51</v>
      </c>
      <c r="M722" s="183">
        <v>4049.51</v>
      </c>
      <c r="N722" s="43">
        <f t="shared" si="307"/>
        <v>0</v>
      </c>
      <c r="O722" s="183">
        <v>4049.51</v>
      </c>
      <c r="P722" s="183">
        <v>4049.51</v>
      </c>
      <c r="Q722" s="183">
        <v>4049.51</v>
      </c>
      <c r="R722" s="472">
        <f t="shared" si="296"/>
        <v>0</v>
      </c>
      <c r="S722" s="472">
        <f t="shared" si="297"/>
        <v>0</v>
      </c>
      <c r="T722" s="472">
        <f t="shared" si="298"/>
        <v>0</v>
      </c>
      <c r="U722" s="178" t="s">
        <v>948</v>
      </c>
      <c r="V722" s="36" t="s">
        <v>95</v>
      </c>
      <c r="W722" s="37" t="s">
        <v>13</v>
      </c>
      <c r="X722" s="37" t="s">
        <v>85</v>
      </c>
      <c r="Y722" s="37" t="s">
        <v>377</v>
      </c>
      <c r="Z722" s="37" t="s">
        <v>90</v>
      </c>
      <c r="AA722" s="12" t="b">
        <f t="shared" si="300"/>
        <v>1</v>
      </c>
      <c r="AB722" s="12" t="b">
        <f t="shared" si="301"/>
        <v>1</v>
      </c>
      <c r="AC722" s="12" t="b">
        <f t="shared" si="302"/>
        <v>1</v>
      </c>
      <c r="AD722" s="12" t="b">
        <f t="shared" si="303"/>
        <v>1</v>
      </c>
      <c r="AE722" s="12" t="b">
        <f t="shared" si="304"/>
        <v>1</v>
      </c>
      <c r="AF722" s="12" t="b">
        <f t="shared" si="305"/>
        <v>1</v>
      </c>
    </row>
    <row r="723" spans="1:32" s="44" customFormat="1" ht="15.75" customHeight="1">
      <c r="A723" s="285"/>
      <c r="B723" s="23" t="s">
        <v>146</v>
      </c>
      <c r="C723" s="36" t="s">
        <v>95</v>
      </c>
      <c r="D723" s="37" t="s">
        <v>13</v>
      </c>
      <c r="E723" s="37" t="s">
        <v>85</v>
      </c>
      <c r="F723" s="37" t="s">
        <v>377</v>
      </c>
      <c r="G723" s="37" t="s">
        <v>169</v>
      </c>
      <c r="H723" s="183">
        <v>4049.51</v>
      </c>
      <c r="I723" s="183">
        <v>4049.51</v>
      </c>
      <c r="J723" s="183">
        <v>4049.51</v>
      </c>
      <c r="K723" s="183">
        <v>4049.51</v>
      </c>
      <c r="L723" s="183">
        <v>4049.51</v>
      </c>
      <c r="M723" s="183">
        <v>4049.51</v>
      </c>
      <c r="N723" s="43">
        <f t="shared" si="307"/>
        <v>0</v>
      </c>
      <c r="O723" s="183">
        <v>4049.51</v>
      </c>
      <c r="P723" s="183">
        <v>4049.51</v>
      </c>
      <c r="Q723" s="183">
        <v>4049.51</v>
      </c>
      <c r="R723" s="472">
        <f t="shared" si="296"/>
        <v>0</v>
      </c>
      <c r="S723" s="472">
        <f t="shared" si="297"/>
        <v>0</v>
      </c>
      <c r="T723" s="472">
        <f t="shared" si="298"/>
        <v>0</v>
      </c>
      <c r="U723" s="23" t="s">
        <v>146</v>
      </c>
      <c r="V723" s="36" t="s">
        <v>95</v>
      </c>
      <c r="W723" s="37" t="s">
        <v>13</v>
      </c>
      <c r="X723" s="37" t="s">
        <v>85</v>
      </c>
      <c r="Y723" s="37" t="s">
        <v>377</v>
      </c>
      <c r="Z723" s="37" t="s">
        <v>169</v>
      </c>
      <c r="AA723" s="12" t="b">
        <f t="shared" si="300"/>
        <v>1</v>
      </c>
      <c r="AB723" s="12" t="b">
        <f t="shared" si="301"/>
        <v>1</v>
      </c>
      <c r="AC723" s="12" t="b">
        <f t="shared" si="302"/>
        <v>1</v>
      </c>
      <c r="AD723" s="12" t="b">
        <f t="shared" si="303"/>
        <v>1</v>
      </c>
      <c r="AE723" s="12" t="b">
        <f t="shared" si="304"/>
        <v>1</v>
      </c>
      <c r="AF723" s="12" t="b">
        <f t="shared" si="305"/>
        <v>1</v>
      </c>
    </row>
    <row r="724" spans="1:32" s="44" customFormat="1" ht="51">
      <c r="A724" s="285"/>
      <c r="B724" s="48" t="s">
        <v>378</v>
      </c>
      <c r="C724" s="36" t="s">
        <v>95</v>
      </c>
      <c r="D724" s="37" t="s">
        <v>13</v>
      </c>
      <c r="E724" s="37" t="s">
        <v>85</v>
      </c>
      <c r="F724" s="37" t="s">
        <v>379</v>
      </c>
      <c r="G724" s="37" t="s">
        <v>90</v>
      </c>
      <c r="H724" s="183">
        <f>H725</f>
        <v>18326.63</v>
      </c>
      <c r="I724" s="183">
        <f>I725</f>
        <v>18326.63</v>
      </c>
      <c r="J724" s="183">
        <f>J725</f>
        <v>18326.63</v>
      </c>
      <c r="K724" s="183">
        <v>18326.63</v>
      </c>
      <c r="L724" s="183">
        <v>18326.63</v>
      </c>
      <c r="M724" s="183">
        <v>18326.63</v>
      </c>
      <c r="N724" s="43">
        <f t="shared" si="307"/>
        <v>0</v>
      </c>
      <c r="O724" s="183">
        <v>18326.63</v>
      </c>
      <c r="P724" s="183">
        <v>18326.63</v>
      </c>
      <c r="Q724" s="183">
        <v>18326.63</v>
      </c>
      <c r="R724" s="472">
        <f t="shared" si="296"/>
        <v>0</v>
      </c>
      <c r="S724" s="472">
        <f t="shared" si="297"/>
        <v>0</v>
      </c>
      <c r="T724" s="472">
        <f t="shared" si="298"/>
        <v>0</v>
      </c>
      <c r="U724" s="48" t="s">
        <v>378</v>
      </c>
      <c r="V724" s="36" t="s">
        <v>95</v>
      </c>
      <c r="W724" s="37" t="s">
        <v>13</v>
      </c>
      <c r="X724" s="37" t="s">
        <v>85</v>
      </c>
      <c r="Y724" s="37" t="s">
        <v>379</v>
      </c>
      <c r="Z724" s="37" t="s">
        <v>90</v>
      </c>
      <c r="AA724" s="12" t="b">
        <f t="shared" si="300"/>
        <v>1</v>
      </c>
      <c r="AB724" s="12" t="b">
        <f t="shared" si="301"/>
        <v>1</v>
      </c>
      <c r="AC724" s="12" t="b">
        <f t="shared" si="302"/>
        <v>1</v>
      </c>
      <c r="AD724" s="12" t="b">
        <f t="shared" si="303"/>
        <v>1</v>
      </c>
      <c r="AE724" s="12" t="b">
        <f t="shared" si="304"/>
        <v>1</v>
      </c>
      <c r="AF724" s="12" t="b">
        <f t="shared" si="305"/>
        <v>1</v>
      </c>
    </row>
    <row r="725" spans="1:32" s="44" customFormat="1" ht="15.75" customHeight="1">
      <c r="A725" s="285"/>
      <c r="B725" s="23" t="s">
        <v>146</v>
      </c>
      <c r="C725" s="36" t="s">
        <v>95</v>
      </c>
      <c r="D725" s="37" t="s">
        <v>13</v>
      </c>
      <c r="E725" s="37" t="s">
        <v>85</v>
      </c>
      <c r="F725" s="37" t="s">
        <v>379</v>
      </c>
      <c r="G725" s="37" t="s">
        <v>169</v>
      </c>
      <c r="H725" s="183">
        <v>18326.63</v>
      </c>
      <c r="I725" s="183">
        <v>18326.63</v>
      </c>
      <c r="J725" s="183">
        <v>18326.63</v>
      </c>
      <c r="K725" s="183">
        <v>18326.63</v>
      </c>
      <c r="L725" s="183">
        <v>18326.63</v>
      </c>
      <c r="M725" s="183">
        <v>18326.63</v>
      </c>
      <c r="N725" s="43">
        <f t="shared" si="307"/>
        <v>0</v>
      </c>
      <c r="O725" s="183">
        <v>18326.63</v>
      </c>
      <c r="P725" s="183">
        <v>18326.63</v>
      </c>
      <c r="Q725" s="183">
        <v>18326.63</v>
      </c>
      <c r="R725" s="472">
        <f t="shared" si="296"/>
        <v>0</v>
      </c>
      <c r="S725" s="472">
        <f t="shared" si="297"/>
        <v>0</v>
      </c>
      <c r="T725" s="472">
        <f t="shared" si="298"/>
        <v>0</v>
      </c>
      <c r="U725" s="23" t="s">
        <v>146</v>
      </c>
      <c r="V725" s="36" t="s">
        <v>95</v>
      </c>
      <c r="W725" s="37" t="s">
        <v>13</v>
      </c>
      <c r="X725" s="37" t="s">
        <v>85</v>
      </c>
      <c r="Y725" s="37" t="s">
        <v>379</v>
      </c>
      <c r="Z725" s="37" t="s">
        <v>169</v>
      </c>
      <c r="AA725" s="12" t="b">
        <f t="shared" si="300"/>
        <v>1</v>
      </c>
      <c r="AB725" s="12" t="b">
        <f t="shared" si="301"/>
        <v>1</v>
      </c>
      <c r="AC725" s="12" t="b">
        <f t="shared" si="302"/>
        <v>1</v>
      </c>
      <c r="AD725" s="12" t="b">
        <f t="shared" si="303"/>
        <v>1</v>
      </c>
      <c r="AE725" s="12" t="b">
        <f t="shared" si="304"/>
        <v>1</v>
      </c>
      <c r="AF725" s="12" t="b">
        <f t="shared" si="305"/>
        <v>1</v>
      </c>
    </row>
    <row r="726" spans="1:32" s="44" customFormat="1" ht="25.5">
      <c r="A726" s="285"/>
      <c r="B726" s="178" t="s">
        <v>782</v>
      </c>
      <c r="C726" s="37" t="s">
        <v>95</v>
      </c>
      <c r="D726" s="37" t="s">
        <v>13</v>
      </c>
      <c r="E726" s="37" t="s">
        <v>85</v>
      </c>
      <c r="F726" s="37" t="s">
        <v>787</v>
      </c>
      <c r="G726" s="37" t="s">
        <v>90</v>
      </c>
      <c r="H726" s="183">
        <f>H727</f>
        <v>938.17</v>
      </c>
      <c r="I726" s="183">
        <f>I727</f>
        <v>938.17</v>
      </c>
      <c r="J726" s="183">
        <f>J727</f>
        <v>938.17</v>
      </c>
      <c r="K726" s="183">
        <v>938.17</v>
      </c>
      <c r="L726" s="183">
        <v>938.17</v>
      </c>
      <c r="M726" s="183">
        <v>938.17</v>
      </c>
      <c r="N726" s="43">
        <f t="shared" si="307"/>
        <v>0</v>
      </c>
      <c r="O726" s="183">
        <v>938.17</v>
      </c>
      <c r="P726" s="183">
        <v>938.17</v>
      </c>
      <c r="Q726" s="183">
        <v>938.17</v>
      </c>
      <c r="R726" s="472">
        <f t="shared" si="296"/>
        <v>0</v>
      </c>
      <c r="S726" s="472">
        <f t="shared" si="297"/>
        <v>0</v>
      </c>
      <c r="T726" s="472">
        <f t="shared" si="298"/>
        <v>0</v>
      </c>
      <c r="U726" s="178" t="s">
        <v>782</v>
      </c>
      <c r="V726" s="37" t="s">
        <v>95</v>
      </c>
      <c r="W726" s="37" t="s">
        <v>13</v>
      </c>
      <c r="X726" s="37" t="s">
        <v>85</v>
      </c>
      <c r="Y726" s="37" t="s">
        <v>787</v>
      </c>
      <c r="Z726" s="37" t="s">
        <v>90</v>
      </c>
      <c r="AA726" s="12" t="b">
        <f t="shared" si="300"/>
        <v>1</v>
      </c>
      <c r="AB726" s="12" t="b">
        <f t="shared" si="301"/>
        <v>1</v>
      </c>
      <c r="AC726" s="12" t="b">
        <f t="shared" si="302"/>
        <v>1</v>
      </c>
      <c r="AD726" s="12" t="b">
        <f t="shared" si="303"/>
        <v>1</v>
      </c>
      <c r="AE726" s="12" t="b">
        <f t="shared" si="304"/>
        <v>1</v>
      </c>
      <c r="AF726" s="12" t="b">
        <f t="shared" si="305"/>
        <v>1</v>
      </c>
    </row>
    <row r="727" spans="1:32" s="44" customFormat="1" ht="15.75" customHeight="1">
      <c r="A727" s="285"/>
      <c r="B727" s="178" t="s">
        <v>147</v>
      </c>
      <c r="C727" s="37" t="s">
        <v>95</v>
      </c>
      <c r="D727" s="37" t="s">
        <v>13</v>
      </c>
      <c r="E727" s="37" t="s">
        <v>85</v>
      </c>
      <c r="F727" s="37" t="s">
        <v>787</v>
      </c>
      <c r="G727" s="37" t="s">
        <v>154</v>
      </c>
      <c r="H727" s="183">
        <v>938.17</v>
      </c>
      <c r="I727" s="183">
        <v>938.17</v>
      </c>
      <c r="J727" s="183">
        <v>938.17</v>
      </c>
      <c r="K727" s="183">
        <v>938.17</v>
      </c>
      <c r="L727" s="183">
        <v>938.17</v>
      </c>
      <c r="M727" s="183">
        <v>938.17</v>
      </c>
      <c r="N727" s="43">
        <f t="shared" si="307"/>
        <v>0</v>
      </c>
      <c r="O727" s="183">
        <v>938.17</v>
      </c>
      <c r="P727" s="183">
        <v>938.17</v>
      </c>
      <c r="Q727" s="183">
        <v>938.17</v>
      </c>
      <c r="R727" s="472">
        <f t="shared" si="296"/>
        <v>0</v>
      </c>
      <c r="S727" s="472">
        <f t="shared" si="297"/>
        <v>0</v>
      </c>
      <c r="T727" s="472">
        <f t="shared" si="298"/>
        <v>0</v>
      </c>
      <c r="U727" s="178" t="s">
        <v>147</v>
      </c>
      <c r="V727" s="37" t="s">
        <v>95</v>
      </c>
      <c r="W727" s="37" t="s">
        <v>13</v>
      </c>
      <c r="X727" s="37" t="s">
        <v>85</v>
      </c>
      <c r="Y727" s="37" t="s">
        <v>787</v>
      </c>
      <c r="Z727" s="37" t="s">
        <v>154</v>
      </c>
      <c r="AA727" s="12" t="b">
        <f t="shared" si="300"/>
        <v>1</v>
      </c>
      <c r="AB727" s="12" t="b">
        <f t="shared" si="301"/>
        <v>1</v>
      </c>
      <c r="AC727" s="12" t="b">
        <f t="shared" si="302"/>
        <v>1</v>
      </c>
      <c r="AD727" s="12" t="b">
        <f t="shared" si="303"/>
        <v>1</v>
      </c>
      <c r="AE727" s="12" t="b">
        <f t="shared" si="304"/>
        <v>1</v>
      </c>
      <c r="AF727" s="12" t="b">
        <f t="shared" si="305"/>
        <v>1</v>
      </c>
    </row>
    <row r="728" spans="1:32" s="44" customFormat="1" ht="15.75" customHeight="1">
      <c r="A728" s="285"/>
      <c r="B728" s="48" t="s">
        <v>380</v>
      </c>
      <c r="C728" s="36" t="s">
        <v>95</v>
      </c>
      <c r="D728" s="37" t="s">
        <v>13</v>
      </c>
      <c r="E728" s="37" t="s">
        <v>85</v>
      </c>
      <c r="F728" s="37" t="s">
        <v>381</v>
      </c>
      <c r="G728" s="37" t="s">
        <v>90</v>
      </c>
      <c r="H728" s="183">
        <f>H729</f>
        <v>7289.12</v>
      </c>
      <c r="I728" s="183">
        <f>I729</f>
        <v>7289.12</v>
      </c>
      <c r="J728" s="183">
        <f>J729</f>
        <v>7289.12</v>
      </c>
      <c r="K728" s="183">
        <v>7289.12</v>
      </c>
      <c r="L728" s="183">
        <v>7289.12</v>
      </c>
      <c r="M728" s="183">
        <v>7289.12</v>
      </c>
      <c r="N728" s="43">
        <f t="shared" si="307"/>
        <v>0</v>
      </c>
      <c r="O728" s="183">
        <v>7289.12</v>
      </c>
      <c r="P728" s="183">
        <v>7289.12</v>
      </c>
      <c r="Q728" s="183">
        <v>7289.12</v>
      </c>
      <c r="R728" s="472">
        <f t="shared" si="296"/>
        <v>0</v>
      </c>
      <c r="S728" s="472">
        <f t="shared" si="297"/>
        <v>0</v>
      </c>
      <c r="T728" s="472">
        <f t="shared" si="298"/>
        <v>0</v>
      </c>
      <c r="U728" s="48" t="s">
        <v>380</v>
      </c>
      <c r="V728" s="36" t="s">
        <v>95</v>
      </c>
      <c r="W728" s="37" t="s">
        <v>13</v>
      </c>
      <c r="X728" s="37" t="s">
        <v>85</v>
      </c>
      <c r="Y728" s="37" t="s">
        <v>381</v>
      </c>
      <c r="Z728" s="37" t="s">
        <v>90</v>
      </c>
      <c r="AA728" s="12" t="b">
        <f t="shared" si="300"/>
        <v>1</v>
      </c>
      <c r="AB728" s="12" t="b">
        <f t="shared" si="301"/>
        <v>1</v>
      </c>
      <c r="AC728" s="12" t="b">
        <f t="shared" si="302"/>
        <v>1</v>
      </c>
      <c r="AD728" s="12" t="b">
        <f t="shared" si="303"/>
        <v>1</v>
      </c>
      <c r="AE728" s="12" t="b">
        <f t="shared" si="304"/>
        <v>1</v>
      </c>
      <c r="AF728" s="12" t="b">
        <f t="shared" si="305"/>
        <v>1</v>
      </c>
    </row>
    <row r="729" spans="1:32" s="44" customFormat="1" ht="15.75" customHeight="1">
      <c r="A729" s="285"/>
      <c r="B729" s="23" t="s">
        <v>146</v>
      </c>
      <c r="C729" s="36" t="s">
        <v>95</v>
      </c>
      <c r="D729" s="37" t="s">
        <v>13</v>
      </c>
      <c r="E729" s="37" t="s">
        <v>85</v>
      </c>
      <c r="F729" s="37" t="s">
        <v>381</v>
      </c>
      <c r="G729" s="37" t="s">
        <v>169</v>
      </c>
      <c r="H729" s="183">
        <v>7289.12</v>
      </c>
      <c r="I729" s="183">
        <v>7289.12</v>
      </c>
      <c r="J729" s="183">
        <v>7289.12</v>
      </c>
      <c r="K729" s="183">
        <v>7289.12</v>
      </c>
      <c r="L729" s="183">
        <v>7289.12</v>
      </c>
      <c r="M729" s="183">
        <v>7289.12</v>
      </c>
      <c r="N729" s="43">
        <f t="shared" si="307"/>
        <v>0</v>
      </c>
      <c r="O729" s="183">
        <v>7289.12</v>
      </c>
      <c r="P729" s="183">
        <v>7289.12</v>
      </c>
      <c r="Q729" s="183">
        <v>7289.12</v>
      </c>
      <c r="R729" s="472">
        <f t="shared" ref="R729:R792" si="310">H729-O729</f>
        <v>0</v>
      </c>
      <c r="S729" s="472">
        <f t="shared" ref="S729:S792" si="311">I729-P729</f>
        <v>0</v>
      </c>
      <c r="T729" s="472">
        <f t="shared" ref="T729:T792" si="312">J729-Q729</f>
        <v>0</v>
      </c>
      <c r="U729" s="23" t="s">
        <v>146</v>
      </c>
      <c r="V729" s="36" t="s">
        <v>95</v>
      </c>
      <c r="W729" s="37" t="s">
        <v>13</v>
      </c>
      <c r="X729" s="37" t="s">
        <v>85</v>
      </c>
      <c r="Y729" s="37" t="s">
        <v>381</v>
      </c>
      <c r="Z729" s="37" t="s">
        <v>169</v>
      </c>
      <c r="AA729" s="12" t="b">
        <f t="shared" si="300"/>
        <v>1</v>
      </c>
      <c r="AB729" s="12" t="b">
        <f t="shared" si="301"/>
        <v>1</v>
      </c>
      <c r="AC729" s="12" t="b">
        <f t="shared" si="302"/>
        <v>1</v>
      </c>
      <c r="AD729" s="12" t="b">
        <f t="shared" si="303"/>
        <v>1</v>
      </c>
      <c r="AE729" s="12" t="b">
        <f t="shared" si="304"/>
        <v>1</v>
      </c>
      <c r="AF729" s="12" t="b">
        <f t="shared" si="305"/>
        <v>1</v>
      </c>
    </row>
    <row r="730" spans="1:32" s="44" customFormat="1" ht="38.25">
      <c r="A730" s="285"/>
      <c r="B730" s="48" t="s">
        <v>382</v>
      </c>
      <c r="C730" s="36" t="s">
        <v>95</v>
      </c>
      <c r="D730" s="37" t="s">
        <v>13</v>
      </c>
      <c r="E730" s="37" t="s">
        <v>85</v>
      </c>
      <c r="F730" s="37" t="s">
        <v>383</v>
      </c>
      <c r="G730" s="37" t="s">
        <v>90</v>
      </c>
      <c r="H730" s="183">
        <f>H731</f>
        <v>1470.87</v>
      </c>
      <c r="I730" s="183">
        <f>I731</f>
        <v>1470.87</v>
      </c>
      <c r="J730" s="183">
        <f>J731</f>
        <v>1470.87</v>
      </c>
      <c r="K730" s="183">
        <v>1470.87</v>
      </c>
      <c r="L730" s="183">
        <v>1470.87</v>
      </c>
      <c r="M730" s="183">
        <v>1470.87</v>
      </c>
      <c r="N730" s="43">
        <f t="shared" si="307"/>
        <v>0</v>
      </c>
      <c r="O730" s="183">
        <v>1470.87</v>
      </c>
      <c r="P730" s="183">
        <v>1470.87</v>
      </c>
      <c r="Q730" s="183">
        <v>1470.87</v>
      </c>
      <c r="R730" s="472">
        <f t="shared" si="310"/>
        <v>0</v>
      </c>
      <c r="S730" s="472">
        <f t="shared" si="311"/>
        <v>0</v>
      </c>
      <c r="T730" s="472">
        <f t="shared" si="312"/>
        <v>0</v>
      </c>
      <c r="U730" s="48" t="s">
        <v>382</v>
      </c>
      <c r="V730" s="36" t="s">
        <v>95</v>
      </c>
      <c r="W730" s="37" t="s">
        <v>13</v>
      </c>
      <c r="X730" s="37" t="s">
        <v>85</v>
      </c>
      <c r="Y730" s="37" t="s">
        <v>383</v>
      </c>
      <c r="Z730" s="37" t="s">
        <v>90</v>
      </c>
      <c r="AA730" s="12" t="b">
        <f t="shared" si="300"/>
        <v>1</v>
      </c>
      <c r="AB730" s="12" t="b">
        <f t="shared" si="301"/>
        <v>1</v>
      </c>
      <c r="AC730" s="12" t="b">
        <f t="shared" si="302"/>
        <v>1</v>
      </c>
      <c r="AD730" s="12" t="b">
        <f t="shared" si="303"/>
        <v>1</v>
      </c>
      <c r="AE730" s="12" t="b">
        <f t="shared" si="304"/>
        <v>1</v>
      </c>
      <c r="AF730" s="12" t="b">
        <f t="shared" si="305"/>
        <v>1</v>
      </c>
    </row>
    <row r="731" spans="1:32" s="44" customFormat="1" ht="15.75" customHeight="1">
      <c r="A731" s="285"/>
      <c r="B731" s="23" t="s">
        <v>146</v>
      </c>
      <c r="C731" s="36" t="s">
        <v>95</v>
      </c>
      <c r="D731" s="37" t="s">
        <v>13</v>
      </c>
      <c r="E731" s="37" t="s">
        <v>85</v>
      </c>
      <c r="F731" s="37" t="s">
        <v>383</v>
      </c>
      <c r="G731" s="37" t="s">
        <v>169</v>
      </c>
      <c r="H731" s="183">
        <v>1470.87</v>
      </c>
      <c r="I731" s="183">
        <v>1470.87</v>
      </c>
      <c r="J731" s="183">
        <v>1470.87</v>
      </c>
      <c r="K731" s="183">
        <v>1470.87</v>
      </c>
      <c r="L731" s="183">
        <v>1470.87</v>
      </c>
      <c r="M731" s="183">
        <v>1470.87</v>
      </c>
      <c r="N731" s="43">
        <f t="shared" si="307"/>
        <v>0</v>
      </c>
      <c r="O731" s="183">
        <v>1470.87</v>
      </c>
      <c r="P731" s="183">
        <v>1470.87</v>
      </c>
      <c r="Q731" s="183">
        <v>1470.87</v>
      </c>
      <c r="R731" s="472">
        <f t="shared" si="310"/>
        <v>0</v>
      </c>
      <c r="S731" s="472">
        <f t="shared" si="311"/>
        <v>0</v>
      </c>
      <c r="T731" s="472">
        <f t="shared" si="312"/>
        <v>0</v>
      </c>
      <c r="U731" s="23" t="s">
        <v>146</v>
      </c>
      <c r="V731" s="36" t="s">
        <v>95</v>
      </c>
      <c r="W731" s="37" t="s">
        <v>13</v>
      </c>
      <c r="X731" s="37" t="s">
        <v>85</v>
      </c>
      <c r="Y731" s="37" t="s">
        <v>383</v>
      </c>
      <c r="Z731" s="37" t="s">
        <v>169</v>
      </c>
      <c r="AA731" s="12" t="b">
        <f t="shared" si="300"/>
        <v>1</v>
      </c>
      <c r="AB731" s="12" t="b">
        <f t="shared" si="301"/>
        <v>1</v>
      </c>
      <c r="AC731" s="12" t="b">
        <f t="shared" si="302"/>
        <v>1</v>
      </c>
      <c r="AD731" s="12" t="b">
        <f t="shared" si="303"/>
        <v>1</v>
      </c>
      <c r="AE731" s="12" t="b">
        <f t="shared" si="304"/>
        <v>1</v>
      </c>
      <c r="AF731" s="12" t="b">
        <f t="shared" si="305"/>
        <v>1</v>
      </c>
    </row>
    <row r="732" spans="1:32" s="44" customFormat="1" ht="15.75" customHeight="1">
      <c r="A732" s="285"/>
      <c r="B732" s="48" t="s">
        <v>384</v>
      </c>
      <c r="C732" s="36" t="s">
        <v>95</v>
      </c>
      <c r="D732" s="37" t="s">
        <v>13</v>
      </c>
      <c r="E732" s="37" t="s">
        <v>85</v>
      </c>
      <c r="F732" s="37" t="s">
        <v>385</v>
      </c>
      <c r="G732" s="37" t="s">
        <v>90</v>
      </c>
      <c r="H732" s="183">
        <f>H733</f>
        <v>1153.51</v>
      </c>
      <c r="I732" s="183">
        <f>I733</f>
        <v>1153.51</v>
      </c>
      <c r="J732" s="183">
        <f>J733</f>
        <v>1153.51</v>
      </c>
      <c r="K732" s="183">
        <v>1153.51</v>
      </c>
      <c r="L732" s="183">
        <v>1153.51</v>
      </c>
      <c r="M732" s="183">
        <v>1153.51</v>
      </c>
      <c r="N732" s="43">
        <f t="shared" si="307"/>
        <v>0</v>
      </c>
      <c r="O732" s="183">
        <v>1153.51</v>
      </c>
      <c r="P732" s="183">
        <v>1153.51</v>
      </c>
      <c r="Q732" s="183">
        <v>1153.51</v>
      </c>
      <c r="R732" s="472">
        <f t="shared" si="310"/>
        <v>0</v>
      </c>
      <c r="S732" s="472">
        <f t="shared" si="311"/>
        <v>0</v>
      </c>
      <c r="T732" s="472">
        <f t="shared" si="312"/>
        <v>0</v>
      </c>
      <c r="U732" s="48" t="s">
        <v>384</v>
      </c>
      <c r="V732" s="36" t="s">
        <v>95</v>
      </c>
      <c r="W732" s="37" t="s">
        <v>13</v>
      </c>
      <c r="X732" s="37" t="s">
        <v>85</v>
      </c>
      <c r="Y732" s="37" t="s">
        <v>385</v>
      </c>
      <c r="Z732" s="37" t="s">
        <v>90</v>
      </c>
      <c r="AA732" s="12" t="b">
        <f t="shared" si="300"/>
        <v>1</v>
      </c>
      <c r="AB732" s="12" t="b">
        <f t="shared" si="301"/>
        <v>1</v>
      </c>
      <c r="AC732" s="12" t="b">
        <f t="shared" si="302"/>
        <v>1</v>
      </c>
      <c r="AD732" s="12" t="b">
        <f t="shared" si="303"/>
        <v>1</v>
      </c>
      <c r="AE732" s="12" t="b">
        <f t="shared" si="304"/>
        <v>1</v>
      </c>
      <c r="AF732" s="12" t="b">
        <f t="shared" si="305"/>
        <v>1</v>
      </c>
    </row>
    <row r="733" spans="1:32" s="44" customFormat="1" ht="15.75" customHeight="1">
      <c r="A733" s="285"/>
      <c r="B733" s="23" t="s">
        <v>146</v>
      </c>
      <c r="C733" s="36" t="s">
        <v>95</v>
      </c>
      <c r="D733" s="37" t="s">
        <v>13</v>
      </c>
      <c r="E733" s="37" t="s">
        <v>85</v>
      </c>
      <c r="F733" s="37" t="s">
        <v>385</v>
      </c>
      <c r="G733" s="37" t="s">
        <v>169</v>
      </c>
      <c r="H733" s="183">
        <v>1153.51</v>
      </c>
      <c r="I733" s="183">
        <v>1153.51</v>
      </c>
      <c r="J733" s="183">
        <v>1153.51</v>
      </c>
      <c r="K733" s="183">
        <v>1153.51</v>
      </c>
      <c r="L733" s="183">
        <v>1153.51</v>
      </c>
      <c r="M733" s="183">
        <v>1153.51</v>
      </c>
      <c r="N733" s="43">
        <f t="shared" si="307"/>
        <v>0</v>
      </c>
      <c r="O733" s="183">
        <v>1153.51</v>
      </c>
      <c r="P733" s="183">
        <v>1153.51</v>
      </c>
      <c r="Q733" s="183">
        <v>1153.51</v>
      </c>
      <c r="R733" s="472">
        <f t="shared" si="310"/>
        <v>0</v>
      </c>
      <c r="S733" s="472">
        <f t="shared" si="311"/>
        <v>0</v>
      </c>
      <c r="T733" s="472">
        <f t="shared" si="312"/>
        <v>0</v>
      </c>
      <c r="U733" s="23" t="s">
        <v>146</v>
      </c>
      <c r="V733" s="36" t="s">
        <v>95</v>
      </c>
      <c r="W733" s="37" t="s">
        <v>13</v>
      </c>
      <c r="X733" s="37" t="s">
        <v>85</v>
      </c>
      <c r="Y733" s="37" t="s">
        <v>385</v>
      </c>
      <c r="Z733" s="37" t="s">
        <v>169</v>
      </c>
      <c r="AA733" s="12" t="b">
        <f t="shared" si="300"/>
        <v>1</v>
      </c>
      <c r="AB733" s="12" t="b">
        <f t="shared" si="301"/>
        <v>1</v>
      </c>
      <c r="AC733" s="12" t="b">
        <f t="shared" si="302"/>
        <v>1</v>
      </c>
      <c r="AD733" s="12" t="b">
        <f t="shared" si="303"/>
        <v>1</v>
      </c>
      <c r="AE733" s="12" t="b">
        <f t="shared" si="304"/>
        <v>1</v>
      </c>
      <c r="AF733" s="12" t="b">
        <f t="shared" si="305"/>
        <v>1</v>
      </c>
    </row>
    <row r="734" spans="1:32" s="44" customFormat="1" ht="51">
      <c r="A734" s="285"/>
      <c r="B734" s="48" t="s">
        <v>949</v>
      </c>
      <c r="C734" s="36" t="s">
        <v>95</v>
      </c>
      <c r="D734" s="37" t="s">
        <v>13</v>
      </c>
      <c r="E734" s="37" t="s">
        <v>85</v>
      </c>
      <c r="F734" s="37" t="s">
        <v>387</v>
      </c>
      <c r="G734" s="37" t="s">
        <v>90</v>
      </c>
      <c r="H734" s="183">
        <f>H735</f>
        <v>699.84</v>
      </c>
      <c r="I734" s="183">
        <f>I735</f>
        <v>647.91999999999996</v>
      </c>
      <c r="J734" s="183">
        <f>J735</f>
        <v>647.91999999999996</v>
      </c>
      <c r="K734" s="183">
        <v>699.84</v>
      </c>
      <c r="L734" s="183">
        <v>647.91999999999996</v>
      </c>
      <c r="M734" s="183">
        <v>647.91999999999996</v>
      </c>
      <c r="N734" s="43">
        <f t="shared" si="307"/>
        <v>0</v>
      </c>
      <c r="O734" s="183">
        <v>699.84</v>
      </c>
      <c r="P734" s="183">
        <v>647.91999999999996</v>
      </c>
      <c r="Q734" s="183">
        <v>647.91999999999996</v>
      </c>
      <c r="R734" s="472">
        <f t="shared" si="310"/>
        <v>0</v>
      </c>
      <c r="S734" s="472">
        <f t="shared" si="311"/>
        <v>0</v>
      </c>
      <c r="T734" s="472">
        <f t="shared" si="312"/>
        <v>0</v>
      </c>
      <c r="U734" s="48" t="s">
        <v>949</v>
      </c>
      <c r="V734" s="36" t="s">
        <v>95</v>
      </c>
      <c r="W734" s="37" t="s">
        <v>13</v>
      </c>
      <c r="X734" s="37" t="s">
        <v>85</v>
      </c>
      <c r="Y734" s="37" t="s">
        <v>387</v>
      </c>
      <c r="Z734" s="37" t="s">
        <v>90</v>
      </c>
      <c r="AA734" s="12" t="b">
        <f t="shared" si="300"/>
        <v>1</v>
      </c>
      <c r="AB734" s="12" t="b">
        <f t="shared" si="301"/>
        <v>1</v>
      </c>
      <c r="AC734" s="12" t="b">
        <f t="shared" si="302"/>
        <v>1</v>
      </c>
      <c r="AD734" s="12" t="b">
        <f t="shared" si="303"/>
        <v>1</v>
      </c>
      <c r="AE734" s="12" t="b">
        <f t="shared" si="304"/>
        <v>1</v>
      </c>
      <c r="AF734" s="12" t="b">
        <f t="shared" si="305"/>
        <v>1</v>
      </c>
    </row>
    <row r="735" spans="1:32" s="44" customFormat="1" ht="15.75" customHeight="1">
      <c r="A735" s="285"/>
      <c r="B735" s="23" t="s">
        <v>146</v>
      </c>
      <c r="C735" s="36" t="s">
        <v>95</v>
      </c>
      <c r="D735" s="37" t="s">
        <v>13</v>
      </c>
      <c r="E735" s="37" t="s">
        <v>85</v>
      </c>
      <c r="F735" s="37" t="s">
        <v>387</v>
      </c>
      <c r="G735" s="37" t="s">
        <v>169</v>
      </c>
      <c r="H735" s="183">
        <v>699.84</v>
      </c>
      <c r="I735" s="183">
        <v>647.91999999999996</v>
      </c>
      <c r="J735" s="183">
        <v>647.91999999999996</v>
      </c>
      <c r="K735" s="183">
        <v>699.84</v>
      </c>
      <c r="L735" s="183">
        <v>647.91999999999996</v>
      </c>
      <c r="M735" s="183">
        <v>647.91999999999996</v>
      </c>
      <c r="N735" s="43">
        <f t="shared" si="307"/>
        <v>0</v>
      </c>
      <c r="O735" s="183">
        <v>699.84</v>
      </c>
      <c r="P735" s="183">
        <v>647.91999999999996</v>
      </c>
      <c r="Q735" s="183">
        <v>647.91999999999996</v>
      </c>
      <c r="R735" s="472">
        <f t="shared" si="310"/>
        <v>0</v>
      </c>
      <c r="S735" s="472">
        <f t="shared" si="311"/>
        <v>0</v>
      </c>
      <c r="T735" s="472">
        <f t="shared" si="312"/>
        <v>0</v>
      </c>
      <c r="U735" s="23" t="s">
        <v>146</v>
      </c>
      <c r="V735" s="36" t="s">
        <v>95</v>
      </c>
      <c r="W735" s="37" t="s">
        <v>13</v>
      </c>
      <c r="X735" s="37" t="s">
        <v>85</v>
      </c>
      <c r="Y735" s="37" t="s">
        <v>387</v>
      </c>
      <c r="Z735" s="37" t="s">
        <v>169</v>
      </c>
      <c r="AA735" s="12" t="b">
        <f t="shared" si="300"/>
        <v>1</v>
      </c>
      <c r="AB735" s="12" t="b">
        <f t="shared" si="301"/>
        <v>1</v>
      </c>
      <c r="AC735" s="12" t="b">
        <f t="shared" si="302"/>
        <v>1</v>
      </c>
      <c r="AD735" s="12" t="b">
        <f t="shared" si="303"/>
        <v>1</v>
      </c>
      <c r="AE735" s="12" t="b">
        <f t="shared" si="304"/>
        <v>1</v>
      </c>
      <c r="AF735" s="12" t="b">
        <f t="shared" si="305"/>
        <v>1</v>
      </c>
    </row>
    <row r="736" spans="1:32" s="44" customFormat="1" ht="15.75" customHeight="1">
      <c r="A736" s="285"/>
      <c r="B736" s="48" t="s">
        <v>802</v>
      </c>
      <c r="C736" s="36" t="s">
        <v>95</v>
      </c>
      <c r="D736" s="37" t="s">
        <v>13</v>
      </c>
      <c r="E736" s="37" t="s">
        <v>85</v>
      </c>
      <c r="F736" s="37" t="s">
        <v>803</v>
      </c>
      <c r="G736" s="37" t="s">
        <v>90</v>
      </c>
      <c r="H736" s="183">
        <f>H737</f>
        <v>337.46</v>
      </c>
      <c r="I736" s="183">
        <f>I737</f>
        <v>337.46</v>
      </c>
      <c r="J736" s="183">
        <f>J737</f>
        <v>337.46</v>
      </c>
      <c r="K736" s="183">
        <v>337.46</v>
      </c>
      <c r="L736" s="183">
        <v>337.46</v>
      </c>
      <c r="M736" s="183">
        <v>337.46</v>
      </c>
      <c r="N736" s="43">
        <f t="shared" si="307"/>
        <v>0</v>
      </c>
      <c r="O736" s="183">
        <v>337.46</v>
      </c>
      <c r="P736" s="183">
        <v>337.46</v>
      </c>
      <c r="Q736" s="183">
        <v>337.46</v>
      </c>
      <c r="R736" s="472">
        <f t="shared" si="310"/>
        <v>0</v>
      </c>
      <c r="S736" s="472">
        <f t="shared" si="311"/>
        <v>0</v>
      </c>
      <c r="T736" s="472">
        <f t="shared" si="312"/>
        <v>0</v>
      </c>
      <c r="U736" s="48" t="s">
        <v>802</v>
      </c>
      <c r="V736" s="36" t="s">
        <v>95</v>
      </c>
      <c r="W736" s="37" t="s">
        <v>13</v>
      </c>
      <c r="X736" s="37" t="s">
        <v>85</v>
      </c>
      <c r="Y736" s="37" t="s">
        <v>803</v>
      </c>
      <c r="Z736" s="37" t="s">
        <v>90</v>
      </c>
      <c r="AA736" s="12" t="b">
        <f t="shared" si="300"/>
        <v>1</v>
      </c>
      <c r="AB736" s="12" t="b">
        <f t="shared" si="301"/>
        <v>1</v>
      </c>
      <c r="AC736" s="12" t="b">
        <f t="shared" si="302"/>
        <v>1</v>
      </c>
      <c r="AD736" s="12" t="b">
        <f t="shared" si="303"/>
        <v>1</v>
      </c>
      <c r="AE736" s="12" t="b">
        <f t="shared" si="304"/>
        <v>1</v>
      </c>
      <c r="AF736" s="12" t="b">
        <f t="shared" si="305"/>
        <v>1</v>
      </c>
    </row>
    <row r="737" spans="1:32" s="44" customFormat="1" ht="15.75" customHeight="1">
      <c r="A737" s="285"/>
      <c r="B737" s="23" t="s">
        <v>146</v>
      </c>
      <c r="C737" s="36" t="s">
        <v>95</v>
      </c>
      <c r="D737" s="37" t="s">
        <v>13</v>
      </c>
      <c r="E737" s="37" t="s">
        <v>85</v>
      </c>
      <c r="F737" s="37" t="s">
        <v>803</v>
      </c>
      <c r="G737" s="37" t="s">
        <v>169</v>
      </c>
      <c r="H737" s="183">
        <v>337.46</v>
      </c>
      <c r="I737" s="183">
        <v>337.46</v>
      </c>
      <c r="J737" s="183">
        <v>337.46</v>
      </c>
      <c r="K737" s="183">
        <v>337.46</v>
      </c>
      <c r="L737" s="183">
        <v>337.46</v>
      </c>
      <c r="M737" s="183">
        <v>337.46</v>
      </c>
      <c r="N737" s="43">
        <f t="shared" si="307"/>
        <v>0</v>
      </c>
      <c r="O737" s="183">
        <v>337.46</v>
      </c>
      <c r="P737" s="183">
        <v>337.46</v>
      </c>
      <c r="Q737" s="183">
        <v>337.46</v>
      </c>
      <c r="R737" s="472">
        <f t="shared" si="310"/>
        <v>0</v>
      </c>
      <c r="S737" s="472">
        <f t="shared" si="311"/>
        <v>0</v>
      </c>
      <c r="T737" s="472">
        <f t="shared" si="312"/>
        <v>0</v>
      </c>
      <c r="U737" s="23" t="s">
        <v>146</v>
      </c>
      <c r="V737" s="36" t="s">
        <v>95</v>
      </c>
      <c r="W737" s="37" t="s">
        <v>13</v>
      </c>
      <c r="X737" s="37" t="s">
        <v>85</v>
      </c>
      <c r="Y737" s="37" t="s">
        <v>803</v>
      </c>
      <c r="Z737" s="37" t="s">
        <v>169</v>
      </c>
      <c r="AA737" s="12" t="b">
        <f t="shared" si="300"/>
        <v>1</v>
      </c>
      <c r="AB737" s="12" t="b">
        <f t="shared" si="301"/>
        <v>1</v>
      </c>
      <c r="AC737" s="12" t="b">
        <f t="shared" si="302"/>
        <v>1</v>
      </c>
      <c r="AD737" s="12" t="b">
        <f t="shared" si="303"/>
        <v>1</v>
      </c>
      <c r="AE737" s="12" t="b">
        <f t="shared" si="304"/>
        <v>1</v>
      </c>
      <c r="AF737" s="12" t="b">
        <f t="shared" si="305"/>
        <v>1</v>
      </c>
    </row>
    <row r="738" spans="1:32" s="44" customFormat="1" ht="15.75" customHeight="1">
      <c r="A738" s="285"/>
      <c r="B738" s="48" t="s">
        <v>388</v>
      </c>
      <c r="C738" s="36" t="s">
        <v>95</v>
      </c>
      <c r="D738" s="37" t="s">
        <v>13</v>
      </c>
      <c r="E738" s="37" t="s">
        <v>85</v>
      </c>
      <c r="F738" s="37" t="s">
        <v>389</v>
      </c>
      <c r="G738" s="37" t="s">
        <v>90</v>
      </c>
      <c r="H738" s="183">
        <f>H739</f>
        <v>1124.8699999999999</v>
      </c>
      <c r="I738" s="183">
        <f>I739</f>
        <v>1124.8699999999999</v>
      </c>
      <c r="J738" s="183">
        <f>J739</f>
        <v>1124.8699999999999</v>
      </c>
      <c r="K738" s="183">
        <v>1124.8699999999999</v>
      </c>
      <c r="L738" s="183">
        <v>1124.8699999999999</v>
      </c>
      <c r="M738" s="183">
        <v>1124.8699999999999</v>
      </c>
      <c r="N738" s="43">
        <f t="shared" si="307"/>
        <v>0</v>
      </c>
      <c r="O738" s="183">
        <v>1124.8699999999999</v>
      </c>
      <c r="P738" s="183">
        <v>1124.8699999999999</v>
      </c>
      <c r="Q738" s="183">
        <v>1124.8699999999999</v>
      </c>
      <c r="R738" s="472">
        <f t="shared" si="310"/>
        <v>0</v>
      </c>
      <c r="S738" s="472">
        <f t="shared" si="311"/>
        <v>0</v>
      </c>
      <c r="T738" s="472">
        <f t="shared" si="312"/>
        <v>0</v>
      </c>
      <c r="U738" s="48" t="s">
        <v>388</v>
      </c>
      <c r="V738" s="36" t="s">
        <v>95</v>
      </c>
      <c r="W738" s="37" t="s">
        <v>13</v>
      </c>
      <c r="X738" s="37" t="s">
        <v>85</v>
      </c>
      <c r="Y738" s="37" t="s">
        <v>389</v>
      </c>
      <c r="Z738" s="37" t="s">
        <v>90</v>
      </c>
      <c r="AA738" s="12" t="b">
        <f t="shared" si="300"/>
        <v>1</v>
      </c>
      <c r="AB738" s="12" t="b">
        <f t="shared" si="301"/>
        <v>1</v>
      </c>
      <c r="AC738" s="12" t="b">
        <f t="shared" si="302"/>
        <v>1</v>
      </c>
      <c r="AD738" s="12" t="b">
        <f t="shared" si="303"/>
        <v>1</v>
      </c>
      <c r="AE738" s="12" t="b">
        <f t="shared" si="304"/>
        <v>1</v>
      </c>
      <c r="AF738" s="12" t="b">
        <f t="shared" si="305"/>
        <v>1</v>
      </c>
    </row>
    <row r="739" spans="1:32" s="44" customFormat="1" ht="15.75" customHeight="1">
      <c r="A739" s="285"/>
      <c r="B739" s="23" t="s">
        <v>146</v>
      </c>
      <c r="C739" s="36" t="s">
        <v>95</v>
      </c>
      <c r="D739" s="37" t="s">
        <v>13</v>
      </c>
      <c r="E739" s="37" t="s">
        <v>85</v>
      </c>
      <c r="F739" s="37" t="s">
        <v>389</v>
      </c>
      <c r="G739" s="37" t="s">
        <v>169</v>
      </c>
      <c r="H739" s="183">
        <v>1124.8699999999999</v>
      </c>
      <c r="I739" s="183">
        <v>1124.8699999999999</v>
      </c>
      <c r="J739" s="183">
        <v>1124.8699999999999</v>
      </c>
      <c r="K739" s="183">
        <v>1124.8699999999999</v>
      </c>
      <c r="L739" s="183">
        <v>1124.8699999999999</v>
      </c>
      <c r="M739" s="183">
        <v>1124.8699999999999</v>
      </c>
      <c r="N739" s="43">
        <f t="shared" si="307"/>
        <v>0</v>
      </c>
      <c r="O739" s="183">
        <v>1124.8699999999999</v>
      </c>
      <c r="P739" s="183">
        <v>1124.8699999999999</v>
      </c>
      <c r="Q739" s="183">
        <v>1124.8699999999999</v>
      </c>
      <c r="R739" s="472">
        <f t="shared" si="310"/>
        <v>0</v>
      </c>
      <c r="S739" s="472">
        <f t="shared" si="311"/>
        <v>0</v>
      </c>
      <c r="T739" s="472">
        <f t="shared" si="312"/>
        <v>0</v>
      </c>
      <c r="U739" s="23" t="s">
        <v>146</v>
      </c>
      <c r="V739" s="36" t="s">
        <v>95</v>
      </c>
      <c r="W739" s="37" t="s">
        <v>13</v>
      </c>
      <c r="X739" s="37" t="s">
        <v>85</v>
      </c>
      <c r="Y739" s="37" t="s">
        <v>389</v>
      </c>
      <c r="Z739" s="37" t="s">
        <v>169</v>
      </c>
      <c r="AA739" s="12" t="b">
        <f t="shared" si="300"/>
        <v>1</v>
      </c>
      <c r="AB739" s="12" t="b">
        <f t="shared" si="301"/>
        <v>1</v>
      </c>
      <c r="AC739" s="12" t="b">
        <f t="shared" si="302"/>
        <v>1</v>
      </c>
      <c r="AD739" s="12" t="b">
        <f t="shared" si="303"/>
        <v>1</v>
      </c>
      <c r="AE739" s="12" t="b">
        <f t="shared" si="304"/>
        <v>1</v>
      </c>
      <c r="AF739" s="12" t="b">
        <f t="shared" si="305"/>
        <v>1</v>
      </c>
    </row>
    <row r="740" spans="1:32" s="49" customFormat="1" ht="25.5">
      <c r="A740" s="282"/>
      <c r="B740" s="48" t="s">
        <v>390</v>
      </c>
      <c r="C740" s="36" t="s">
        <v>95</v>
      </c>
      <c r="D740" s="37" t="s">
        <v>13</v>
      </c>
      <c r="E740" s="37" t="s">
        <v>85</v>
      </c>
      <c r="F740" s="37" t="s">
        <v>391</v>
      </c>
      <c r="G740" s="37" t="s">
        <v>90</v>
      </c>
      <c r="H740" s="183">
        <f>H741</f>
        <v>2085.5</v>
      </c>
      <c r="I740" s="183">
        <f>I741</f>
        <v>2085.5</v>
      </c>
      <c r="J740" s="183">
        <f>J741</f>
        <v>2085.5</v>
      </c>
      <c r="K740" s="183">
        <v>2085.5</v>
      </c>
      <c r="L740" s="183">
        <v>2085.5</v>
      </c>
      <c r="M740" s="183">
        <v>2085.5</v>
      </c>
      <c r="N740" s="43">
        <f t="shared" si="307"/>
        <v>0</v>
      </c>
      <c r="O740" s="183">
        <v>2085.5</v>
      </c>
      <c r="P740" s="183">
        <v>2085.5</v>
      </c>
      <c r="Q740" s="183">
        <v>2085.5</v>
      </c>
      <c r="R740" s="472">
        <f t="shared" si="310"/>
        <v>0</v>
      </c>
      <c r="S740" s="472">
        <f t="shared" si="311"/>
        <v>0</v>
      </c>
      <c r="T740" s="472">
        <f t="shared" si="312"/>
        <v>0</v>
      </c>
      <c r="U740" s="48" t="s">
        <v>390</v>
      </c>
      <c r="V740" s="36" t="s">
        <v>95</v>
      </c>
      <c r="W740" s="37" t="s">
        <v>13</v>
      </c>
      <c r="X740" s="37" t="s">
        <v>85</v>
      </c>
      <c r="Y740" s="37" t="s">
        <v>391</v>
      </c>
      <c r="Z740" s="37" t="s">
        <v>90</v>
      </c>
      <c r="AA740" s="12" t="b">
        <f t="shared" si="300"/>
        <v>1</v>
      </c>
      <c r="AB740" s="12" t="b">
        <f t="shared" si="301"/>
        <v>1</v>
      </c>
      <c r="AC740" s="12" t="b">
        <f t="shared" si="302"/>
        <v>1</v>
      </c>
      <c r="AD740" s="12" t="b">
        <f t="shared" si="303"/>
        <v>1</v>
      </c>
      <c r="AE740" s="12" t="b">
        <f t="shared" si="304"/>
        <v>1</v>
      </c>
      <c r="AF740" s="12" t="b">
        <f t="shared" si="305"/>
        <v>1</v>
      </c>
    </row>
    <row r="741" spans="1:32" s="49" customFormat="1" ht="15.75" customHeight="1">
      <c r="A741" s="282"/>
      <c r="B741" s="23" t="s">
        <v>146</v>
      </c>
      <c r="C741" s="36" t="s">
        <v>95</v>
      </c>
      <c r="D741" s="37" t="s">
        <v>13</v>
      </c>
      <c r="E741" s="37" t="s">
        <v>85</v>
      </c>
      <c r="F741" s="37" t="s">
        <v>391</v>
      </c>
      <c r="G741" s="37" t="s">
        <v>169</v>
      </c>
      <c r="H741" s="183">
        <v>2085.5</v>
      </c>
      <c r="I741" s="183">
        <v>2085.5</v>
      </c>
      <c r="J741" s="183">
        <v>2085.5</v>
      </c>
      <c r="K741" s="183">
        <v>2085.5</v>
      </c>
      <c r="L741" s="183">
        <v>2085.5</v>
      </c>
      <c r="M741" s="183">
        <v>2085.5</v>
      </c>
      <c r="N741" s="43">
        <f t="shared" si="307"/>
        <v>0</v>
      </c>
      <c r="O741" s="183">
        <v>2085.5</v>
      </c>
      <c r="P741" s="183">
        <v>2085.5</v>
      </c>
      <c r="Q741" s="183">
        <v>2085.5</v>
      </c>
      <c r="R741" s="472">
        <f t="shared" si="310"/>
        <v>0</v>
      </c>
      <c r="S741" s="472">
        <f t="shared" si="311"/>
        <v>0</v>
      </c>
      <c r="T741" s="472">
        <f t="shared" si="312"/>
        <v>0</v>
      </c>
      <c r="U741" s="23" t="s">
        <v>146</v>
      </c>
      <c r="V741" s="36" t="s">
        <v>95</v>
      </c>
      <c r="W741" s="37" t="s">
        <v>13</v>
      </c>
      <c r="X741" s="37" t="s">
        <v>85</v>
      </c>
      <c r="Y741" s="37" t="s">
        <v>391</v>
      </c>
      <c r="Z741" s="37" t="s">
        <v>169</v>
      </c>
      <c r="AA741" s="12" t="b">
        <f t="shared" si="300"/>
        <v>1</v>
      </c>
      <c r="AB741" s="12" t="b">
        <f t="shared" si="301"/>
        <v>1</v>
      </c>
      <c r="AC741" s="12" t="b">
        <f t="shared" si="302"/>
        <v>1</v>
      </c>
      <c r="AD741" s="12" t="b">
        <f t="shared" si="303"/>
        <v>1</v>
      </c>
      <c r="AE741" s="12" t="b">
        <f t="shared" si="304"/>
        <v>1</v>
      </c>
      <c r="AF741" s="12" t="b">
        <f t="shared" si="305"/>
        <v>1</v>
      </c>
    </row>
    <row r="742" spans="1:32" s="49" customFormat="1" ht="15.75" customHeight="1">
      <c r="A742" s="282"/>
      <c r="B742" s="178" t="s">
        <v>1123</v>
      </c>
      <c r="C742" s="36" t="s">
        <v>95</v>
      </c>
      <c r="D742" s="37" t="s">
        <v>13</v>
      </c>
      <c r="E742" s="37" t="s">
        <v>85</v>
      </c>
      <c r="F742" s="37" t="s">
        <v>392</v>
      </c>
      <c r="G742" s="37" t="s">
        <v>90</v>
      </c>
      <c r="H742" s="183">
        <f>H743</f>
        <v>56.24</v>
      </c>
      <c r="I742" s="183">
        <f>I743</f>
        <v>56.24</v>
      </c>
      <c r="J742" s="183">
        <f>J743</f>
        <v>56.24</v>
      </c>
      <c r="K742" s="183">
        <v>56.24</v>
      </c>
      <c r="L742" s="183">
        <v>56.24</v>
      </c>
      <c r="M742" s="183">
        <v>56.24</v>
      </c>
      <c r="N742" s="43">
        <f t="shared" si="307"/>
        <v>0</v>
      </c>
      <c r="O742" s="183">
        <v>56.24</v>
      </c>
      <c r="P742" s="183">
        <v>56.24</v>
      </c>
      <c r="Q742" s="183">
        <v>56.24</v>
      </c>
      <c r="R742" s="472">
        <f t="shared" si="310"/>
        <v>0</v>
      </c>
      <c r="S742" s="472">
        <f t="shared" si="311"/>
        <v>0</v>
      </c>
      <c r="T742" s="472">
        <f t="shared" si="312"/>
        <v>0</v>
      </c>
      <c r="U742" s="178" t="s">
        <v>1123</v>
      </c>
      <c r="V742" s="36" t="s">
        <v>95</v>
      </c>
      <c r="W742" s="37" t="s">
        <v>13</v>
      </c>
      <c r="X742" s="37" t="s">
        <v>85</v>
      </c>
      <c r="Y742" s="37" t="s">
        <v>392</v>
      </c>
      <c r="Z742" s="37" t="s">
        <v>90</v>
      </c>
      <c r="AA742" s="12" t="b">
        <f t="shared" si="300"/>
        <v>1</v>
      </c>
      <c r="AB742" s="12" t="b">
        <f t="shared" si="301"/>
        <v>1</v>
      </c>
      <c r="AC742" s="12" t="b">
        <f t="shared" si="302"/>
        <v>1</v>
      </c>
      <c r="AD742" s="12" t="b">
        <f t="shared" si="303"/>
        <v>1</v>
      </c>
      <c r="AE742" s="12" t="b">
        <f t="shared" si="304"/>
        <v>1</v>
      </c>
      <c r="AF742" s="12" t="b">
        <f t="shared" si="305"/>
        <v>1</v>
      </c>
    </row>
    <row r="743" spans="1:32" s="49" customFormat="1" ht="15.75" customHeight="1">
      <c r="A743" s="282"/>
      <c r="B743" s="23" t="s">
        <v>146</v>
      </c>
      <c r="C743" s="36" t="s">
        <v>95</v>
      </c>
      <c r="D743" s="37" t="s">
        <v>13</v>
      </c>
      <c r="E743" s="37" t="s">
        <v>85</v>
      </c>
      <c r="F743" s="37" t="s">
        <v>392</v>
      </c>
      <c r="G743" s="37" t="s">
        <v>169</v>
      </c>
      <c r="H743" s="183">
        <v>56.24</v>
      </c>
      <c r="I743" s="183">
        <v>56.24</v>
      </c>
      <c r="J743" s="183">
        <v>56.24</v>
      </c>
      <c r="K743" s="183">
        <v>56.24</v>
      </c>
      <c r="L743" s="183">
        <v>56.24</v>
      </c>
      <c r="M743" s="183">
        <v>56.24</v>
      </c>
      <c r="N743" s="43">
        <f t="shared" si="307"/>
        <v>0</v>
      </c>
      <c r="O743" s="183">
        <v>56.24</v>
      </c>
      <c r="P743" s="183">
        <v>56.24</v>
      </c>
      <c r="Q743" s="183">
        <v>56.24</v>
      </c>
      <c r="R743" s="472">
        <f t="shared" si="310"/>
        <v>0</v>
      </c>
      <c r="S743" s="472">
        <f t="shared" si="311"/>
        <v>0</v>
      </c>
      <c r="T743" s="472">
        <f t="shared" si="312"/>
        <v>0</v>
      </c>
      <c r="U743" s="23" t="s">
        <v>146</v>
      </c>
      <c r="V743" s="36" t="s">
        <v>95</v>
      </c>
      <c r="W743" s="37" t="s">
        <v>13</v>
      </c>
      <c r="X743" s="37" t="s">
        <v>85</v>
      </c>
      <c r="Y743" s="37" t="s">
        <v>392</v>
      </c>
      <c r="Z743" s="37" t="s">
        <v>169</v>
      </c>
      <c r="AA743" s="12" t="b">
        <f t="shared" si="300"/>
        <v>1</v>
      </c>
      <c r="AB743" s="12" t="b">
        <f t="shared" si="301"/>
        <v>1</v>
      </c>
      <c r="AC743" s="12" t="b">
        <f t="shared" si="302"/>
        <v>1</v>
      </c>
      <c r="AD743" s="12" t="b">
        <f t="shared" si="303"/>
        <v>1</v>
      </c>
      <c r="AE743" s="12" t="b">
        <f t="shared" si="304"/>
        <v>1</v>
      </c>
      <c r="AF743" s="12" t="b">
        <f t="shared" si="305"/>
        <v>1</v>
      </c>
    </row>
    <row r="744" spans="1:32" s="49" customFormat="1" ht="15.75" customHeight="1">
      <c r="A744" s="282"/>
      <c r="B744" s="23" t="s">
        <v>879</v>
      </c>
      <c r="C744" s="36" t="s">
        <v>95</v>
      </c>
      <c r="D744" s="37" t="s">
        <v>13</v>
      </c>
      <c r="E744" s="37" t="s">
        <v>85</v>
      </c>
      <c r="F744" s="37" t="s">
        <v>877</v>
      </c>
      <c r="G744" s="37" t="s">
        <v>90</v>
      </c>
      <c r="H744" s="183">
        <f>H745</f>
        <v>20</v>
      </c>
      <c r="I744" s="183">
        <f>I745</f>
        <v>20</v>
      </c>
      <c r="J744" s="183">
        <f>J745</f>
        <v>20</v>
      </c>
      <c r="K744" s="183">
        <v>20</v>
      </c>
      <c r="L744" s="183">
        <v>20</v>
      </c>
      <c r="M744" s="183">
        <v>20</v>
      </c>
      <c r="N744" s="43">
        <f t="shared" si="307"/>
        <v>0</v>
      </c>
      <c r="O744" s="183">
        <v>20</v>
      </c>
      <c r="P744" s="183">
        <v>20</v>
      </c>
      <c r="Q744" s="183">
        <v>20</v>
      </c>
      <c r="R744" s="472">
        <f t="shared" si="310"/>
        <v>0</v>
      </c>
      <c r="S744" s="472">
        <f t="shared" si="311"/>
        <v>0</v>
      </c>
      <c r="T744" s="472">
        <f t="shared" si="312"/>
        <v>0</v>
      </c>
      <c r="U744" s="23" t="s">
        <v>879</v>
      </c>
      <c r="V744" s="36" t="s">
        <v>95</v>
      </c>
      <c r="W744" s="37" t="s">
        <v>13</v>
      </c>
      <c r="X744" s="37" t="s">
        <v>85</v>
      </c>
      <c r="Y744" s="37" t="s">
        <v>877</v>
      </c>
      <c r="Z744" s="37" t="s">
        <v>90</v>
      </c>
      <c r="AA744" s="12" t="b">
        <f t="shared" si="300"/>
        <v>1</v>
      </c>
      <c r="AB744" s="12" t="b">
        <f t="shared" si="301"/>
        <v>1</v>
      </c>
      <c r="AC744" s="12" t="b">
        <f t="shared" si="302"/>
        <v>1</v>
      </c>
      <c r="AD744" s="12" t="b">
        <f t="shared" si="303"/>
        <v>1</v>
      </c>
      <c r="AE744" s="12" t="b">
        <f t="shared" si="304"/>
        <v>1</v>
      </c>
      <c r="AF744" s="12" t="b">
        <f t="shared" si="305"/>
        <v>1</v>
      </c>
    </row>
    <row r="745" spans="1:32" s="49" customFormat="1" ht="15.75" customHeight="1">
      <c r="A745" s="282"/>
      <c r="B745" s="23" t="s">
        <v>147</v>
      </c>
      <c r="C745" s="36" t="s">
        <v>95</v>
      </c>
      <c r="D745" s="37" t="s">
        <v>13</v>
      </c>
      <c r="E745" s="37" t="s">
        <v>85</v>
      </c>
      <c r="F745" s="37" t="s">
        <v>877</v>
      </c>
      <c r="G745" s="37" t="s">
        <v>154</v>
      </c>
      <c r="H745" s="183">
        <v>20</v>
      </c>
      <c r="I745" s="183">
        <v>20</v>
      </c>
      <c r="J745" s="183">
        <v>20</v>
      </c>
      <c r="K745" s="183">
        <v>20</v>
      </c>
      <c r="L745" s="183">
        <v>20</v>
      </c>
      <c r="M745" s="183">
        <v>20</v>
      </c>
      <c r="N745" s="43">
        <f t="shared" si="307"/>
        <v>0</v>
      </c>
      <c r="O745" s="183">
        <v>20</v>
      </c>
      <c r="P745" s="183">
        <v>20</v>
      </c>
      <c r="Q745" s="183">
        <v>20</v>
      </c>
      <c r="R745" s="472">
        <f t="shared" si="310"/>
        <v>0</v>
      </c>
      <c r="S745" s="472">
        <f t="shared" si="311"/>
        <v>0</v>
      </c>
      <c r="T745" s="472">
        <f t="shared" si="312"/>
        <v>0</v>
      </c>
      <c r="U745" s="23" t="s">
        <v>147</v>
      </c>
      <c r="V745" s="36" t="s">
        <v>95</v>
      </c>
      <c r="W745" s="37" t="s">
        <v>13</v>
      </c>
      <c r="X745" s="37" t="s">
        <v>85</v>
      </c>
      <c r="Y745" s="37" t="s">
        <v>877</v>
      </c>
      <c r="Z745" s="37" t="s">
        <v>154</v>
      </c>
      <c r="AA745" s="12" t="b">
        <f t="shared" si="300"/>
        <v>1</v>
      </c>
      <c r="AB745" s="12" t="b">
        <f t="shared" si="301"/>
        <v>1</v>
      </c>
      <c r="AC745" s="12" t="b">
        <f t="shared" si="302"/>
        <v>1</v>
      </c>
      <c r="AD745" s="12" t="b">
        <f t="shared" si="303"/>
        <v>1</v>
      </c>
      <c r="AE745" s="12" t="b">
        <f t="shared" si="304"/>
        <v>1</v>
      </c>
      <c r="AF745" s="12" t="b">
        <f t="shared" si="305"/>
        <v>1</v>
      </c>
    </row>
    <row r="746" spans="1:32" s="49" customFormat="1" ht="76.5">
      <c r="A746" s="282"/>
      <c r="B746" s="23" t="s">
        <v>882</v>
      </c>
      <c r="C746" s="36" t="s">
        <v>95</v>
      </c>
      <c r="D746" s="37" t="s">
        <v>13</v>
      </c>
      <c r="E746" s="37" t="s">
        <v>85</v>
      </c>
      <c r="F746" s="37" t="s">
        <v>883</v>
      </c>
      <c r="G746" s="37" t="s">
        <v>90</v>
      </c>
      <c r="H746" s="183">
        <f>H747</f>
        <v>300</v>
      </c>
      <c r="I746" s="183">
        <f>I747</f>
        <v>300</v>
      </c>
      <c r="J746" s="183">
        <f>J747</f>
        <v>300</v>
      </c>
      <c r="K746" s="183">
        <v>300</v>
      </c>
      <c r="L746" s="183">
        <v>300</v>
      </c>
      <c r="M746" s="183">
        <v>300</v>
      </c>
      <c r="N746" s="43">
        <f t="shared" si="307"/>
        <v>0</v>
      </c>
      <c r="O746" s="183">
        <v>300</v>
      </c>
      <c r="P746" s="183">
        <v>300</v>
      </c>
      <c r="Q746" s="183">
        <v>300</v>
      </c>
      <c r="R746" s="472">
        <f t="shared" si="310"/>
        <v>0</v>
      </c>
      <c r="S746" s="472">
        <f t="shared" si="311"/>
        <v>0</v>
      </c>
      <c r="T746" s="472">
        <f t="shared" si="312"/>
        <v>0</v>
      </c>
      <c r="U746" s="23" t="s">
        <v>882</v>
      </c>
      <c r="V746" s="36" t="s">
        <v>95</v>
      </c>
      <c r="W746" s="37" t="s">
        <v>13</v>
      </c>
      <c r="X746" s="37" t="s">
        <v>85</v>
      </c>
      <c r="Y746" s="37" t="s">
        <v>883</v>
      </c>
      <c r="Z746" s="37" t="s">
        <v>90</v>
      </c>
      <c r="AA746" s="12" t="b">
        <f t="shared" si="300"/>
        <v>1</v>
      </c>
      <c r="AB746" s="12" t="b">
        <f t="shared" si="301"/>
        <v>1</v>
      </c>
      <c r="AC746" s="12" t="b">
        <f t="shared" si="302"/>
        <v>1</v>
      </c>
      <c r="AD746" s="12" t="b">
        <f t="shared" si="303"/>
        <v>1</v>
      </c>
      <c r="AE746" s="12" t="b">
        <f t="shared" si="304"/>
        <v>1</v>
      </c>
      <c r="AF746" s="12" t="b">
        <f t="shared" si="305"/>
        <v>1</v>
      </c>
    </row>
    <row r="747" spans="1:32" s="49" customFormat="1" ht="15.75" customHeight="1">
      <c r="A747" s="282"/>
      <c r="B747" s="23" t="s">
        <v>147</v>
      </c>
      <c r="C747" s="36" t="s">
        <v>95</v>
      </c>
      <c r="D747" s="37" t="s">
        <v>13</v>
      </c>
      <c r="E747" s="37" t="s">
        <v>85</v>
      </c>
      <c r="F747" s="37" t="s">
        <v>883</v>
      </c>
      <c r="G747" s="37" t="s">
        <v>154</v>
      </c>
      <c r="H747" s="183">
        <v>300</v>
      </c>
      <c r="I747" s="183">
        <v>300</v>
      </c>
      <c r="J747" s="183">
        <v>300</v>
      </c>
      <c r="K747" s="183">
        <v>300</v>
      </c>
      <c r="L747" s="183">
        <v>300</v>
      </c>
      <c r="M747" s="183">
        <v>300</v>
      </c>
      <c r="N747" s="43">
        <f t="shared" si="307"/>
        <v>0</v>
      </c>
      <c r="O747" s="183">
        <v>300</v>
      </c>
      <c r="P747" s="183">
        <v>300</v>
      </c>
      <c r="Q747" s="183">
        <v>300</v>
      </c>
      <c r="R747" s="472">
        <f t="shared" si="310"/>
        <v>0</v>
      </c>
      <c r="S747" s="472">
        <f t="shared" si="311"/>
        <v>0</v>
      </c>
      <c r="T747" s="472">
        <f t="shared" si="312"/>
        <v>0</v>
      </c>
      <c r="U747" s="23" t="s">
        <v>147</v>
      </c>
      <c r="V747" s="36" t="s">
        <v>95</v>
      </c>
      <c r="W747" s="37" t="s">
        <v>13</v>
      </c>
      <c r="X747" s="37" t="s">
        <v>85</v>
      </c>
      <c r="Y747" s="37" t="s">
        <v>883</v>
      </c>
      <c r="Z747" s="37" t="s">
        <v>154</v>
      </c>
      <c r="AA747" s="12" t="b">
        <f t="shared" si="300"/>
        <v>1</v>
      </c>
      <c r="AB747" s="12" t="b">
        <f t="shared" si="301"/>
        <v>1</v>
      </c>
      <c r="AC747" s="12" t="b">
        <f t="shared" si="302"/>
        <v>1</v>
      </c>
      <c r="AD747" s="12" t="b">
        <f t="shared" si="303"/>
        <v>1</v>
      </c>
      <c r="AE747" s="12" t="b">
        <f t="shared" si="304"/>
        <v>1</v>
      </c>
      <c r="AF747" s="12" t="b">
        <f t="shared" si="305"/>
        <v>1</v>
      </c>
    </row>
    <row r="748" spans="1:32" s="49" customFormat="1" ht="15.75" customHeight="1">
      <c r="A748" s="282"/>
      <c r="B748" s="54" t="s">
        <v>551</v>
      </c>
      <c r="C748" s="36" t="s">
        <v>95</v>
      </c>
      <c r="D748" s="37" t="s">
        <v>13</v>
      </c>
      <c r="E748" s="37" t="s">
        <v>85</v>
      </c>
      <c r="F748" s="57" t="s">
        <v>547</v>
      </c>
      <c r="G748" s="57" t="s">
        <v>90</v>
      </c>
      <c r="H748" s="58">
        <f t="shared" ref="H748:J749" si="313">H749</f>
        <v>11569.12</v>
      </c>
      <c r="I748" s="58">
        <f t="shared" si="313"/>
        <v>11569.12</v>
      </c>
      <c r="J748" s="58">
        <f t="shared" si="313"/>
        <v>11569.12</v>
      </c>
      <c r="K748" s="58">
        <v>11569.12</v>
      </c>
      <c r="L748" s="58">
        <v>11569.12</v>
      </c>
      <c r="M748" s="58">
        <v>11569.12</v>
      </c>
      <c r="N748" s="43">
        <f t="shared" si="307"/>
        <v>0</v>
      </c>
      <c r="O748" s="58">
        <v>11569.12</v>
      </c>
      <c r="P748" s="58">
        <v>11569.12</v>
      </c>
      <c r="Q748" s="58">
        <v>11569.12</v>
      </c>
      <c r="R748" s="472">
        <f t="shared" si="310"/>
        <v>0</v>
      </c>
      <c r="S748" s="472">
        <f t="shared" si="311"/>
        <v>0</v>
      </c>
      <c r="T748" s="472">
        <f t="shared" si="312"/>
        <v>0</v>
      </c>
      <c r="U748" s="54" t="s">
        <v>551</v>
      </c>
      <c r="V748" s="36" t="s">
        <v>95</v>
      </c>
      <c r="W748" s="37" t="s">
        <v>13</v>
      </c>
      <c r="X748" s="37" t="s">
        <v>85</v>
      </c>
      <c r="Y748" s="57" t="s">
        <v>547</v>
      </c>
      <c r="Z748" s="57" t="s">
        <v>90</v>
      </c>
      <c r="AA748" s="12" t="b">
        <f t="shared" si="300"/>
        <v>1</v>
      </c>
      <c r="AB748" s="12" t="b">
        <f t="shared" si="301"/>
        <v>1</v>
      </c>
      <c r="AC748" s="12" t="b">
        <f t="shared" si="302"/>
        <v>1</v>
      </c>
      <c r="AD748" s="12" t="b">
        <f t="shared" si="303"/>
        <v>1</v>
      </c>
      <c r="AE748" s="12" t="b">
        <f t="shared" si="304"/>
        <v>1</v>
      </c>
      <c r="AF748" s="12" t="b">
        <f t="shared" si="305"/>
        <v>1</v>
      </c>
    </row>
    <row r="749" spans="1:32" s="49" customFormat="1" ht="15.75" customHeight="1">
      <c r="A749" s="282"/>
      <c r="B749" s="182" t="s">
        <v>463</v>
      </c>
      <c r="C749" s="36" t="s">
        <v>95</v>
      </c>
      <c r="D749" s="37" t="s">
        <v>13</v>
      </c>
      <c r="E749" s="37" t="s">
        <v>85</v>
      </c>
      <c r="F749" s="37" t="s">
        <v>550</v>
      </c>
      <c r="G749" s="37" t="s">
        <v>90</v>
      </c>
      <c r="H749" s="183">
        <f t="shared" si="313"/>
        <v>11569.12</v>
      </c>
      <c r="I749" s="183">
        <f t="shared" si="313"/>
        <v>11569.12</v>
      </c>
      <c r="J749" s="183">
        <f t="shared" si="313"/>
        <v>11569.12</v>
      </c>
      <c r="K749" s="183">
        <v>11569.12</v>
      </c>
      <c r="L749" s="183">
        <v>11569.12</v>
      </c>
      <c r="M749" s="183">
        <v>11569.12</v>
      </c>
      <c r="N749" s="43">
        <f t="shared" si="307"/>
        <v>0</v>
      </c>
      <c r="O749" s="183">
        <v>11569.12</v>
      </c>
      <c r="P749" s="183">
        <v>11569.12</v>
      </c>
      <c r="Q749" s="183">
        <v>11569.12</v>
      </c>
      <c r="R749" s="472">
        <f t="shared" si="310"/>
        <v>0</v>
      </c>
      <c r="S749" s="472">
        <f t="shared" si="311"/>
        <v>0</v>
      </c>
      <c r="T749" s="472">
        <f t="shared" si="312"/>
        <v>0</v>
      </c>
      <c r="U749" s="182" t="s">
        <v>463</v>
      </c>
      <c r="V749" s="36" t="s">
        <v>95</v>
      </c>
      <c r="W749" s="37" t="s">
        <v>13</v>
      </c>
      <c r="X749" s="37" t="s">
        <v>85</v>
      </c>
      <c r="Y749" s="37" t="s">
        <v>550</v>
      </c>
      <c r="Z749" s="37" t="s">
        <v>90</v>
      </c>
      <c r="AA749" s="12" t="b">
        <f t="shared" si="300"/>
        <v>1</v>
      </c>
      <c r="AB749" s="12" t="b">
        <f t="shared" si="301"/>
        <v>1</v>
      </c>
      <c r="AC749" s="12" t="b">
        <f t="shared" si="302"/>
        <v>1</v>
      </c>
      <c r="AD749" s="12" t="b">
        <f t="shared" si="303"/>
        <v>1</v>
      </c>
      <c r="AE749" s="12" t="b">
        <f t="shared" si="304"/>
        <v>1</v>
      </c>
      <c r="AF749" s="12" t="b">
        <f t="shared" si="305"/>
        <v>1</v>
      </c>
    </row>
    <row r="750" spans="1:32" s="49" customFormat="1" ht="15.75" customHeight="1">
      <c r="A750" s="282"/>
      <c r="B750" s="68" t="s">
        <v>492</v>
      </c>
      <c r="C750" s="36" t="s">
        <v>95</v>
      </c>
      <c r="D750" s="37" t="s">
        <v>13</v>
      </c>
      <c r="E750" s="37" t="s">
        <v>85</v>
      </c>
      <c r="F750" s="37" t="s">
        <v>550</v>
      </c>
      <c r="G750" s="37" t="s">
        <v>139</v>
      </c>
      <c r="H750" s="183">
        <f>11569.12</f>
        <v>11569.12</v>
      </c>
      <c r="I750" s="183">
        <f>11569.12</f>
        <v>11569.12</v>
      </c>
      <c r="J750" s="183">
        <f>11569.12</f>
        <v>11569.12</v>
      </c>
      <c r="K750" s="183">
        <v>11569.12</v>
      </c>
      <c r="L750" s="183">
        <v>11569.12</v>
      </c>
      <c r="M750" s="183">
        <v>11569.12</v>
      </c>
      <c r="N750" s="43">
        <f t="shared" si="307"/>
        <v>0</v>
      </c>
      <c r="O750" s="183">
        <v>11569.12</v>
      </c>
      <c r="P750" s="183">
        <v>11569.12</v>
      </c>
      <c r="Q750" s="183">
        <v>11569.12</v>
      </c>
      <c r="R750" s="472">
        <f t="shared" si="310"/>
        <v>0</v>
      </c>
      <c r="S750" s="472">
        <f t="shared" si="311"/>
        <v>0</v>
      </c>
      <c r="T750" s="472">
        <f t="shared" si="312"/>
        <v>0</v>
      </c>
      <c r="U750" s="68" t="s">
        <v>492</v>
      </c>
      <c r="V750" s="36" t="s">
        <v>95</v>
      </c>
      <c r="W750" s="37" t="s">
        <v>13</v>
      </c>
      <c r="X750" s="37" t="s">
        <v>85</v>
      </c>
      <c r="Y750" s="37" t="s">
        <v>550</v>
      </c>
      <c r="Z750" s="37" t="s">
        <v>139</v>
      </c>
      <c r="AA750" s="12" t="b">
        <f t="shared" si="300"/>
        <v>1</v>
      </c>
      <c r="AB750" s="12" t="b">
        <f t="shared" si="301"/>
        <v>1</v>
      </c>
      <c r="AC750" s="12" t="b">
        <f t="shared" si="302"/>
        <v>1</v>
      </c>
      <c r="AD750" s="12" t="b">
        <f t="shared" si="303"/>
        <v>1</v>
      </c>
      <c r="AE750" s="12" t="b">
        <f t="shared" si="304"/>
        <v>1</v>
      </c>
      <c r="AF750" s="12" t="b">
        <f t="shared" si="305"/>
        <v>1</v>
      </c>
    </row>
    <row r="751" spans="1:32" s="49" customFormat="1" ht="15.75" customHeight="1">
      <c r="A751" s="282"/>
      <c r="B751" s="48" t="s">
        <v>699</v>
      </c>
      <c r="C751" s="36" t="s">
        <v>95</v>
      </c>
      <c r="D751" s="37" t="s">
        <v>13</v>
      </c>
      <c r="E751" s="37" t="s">
        <v>85</v>
      </c>
      <c r="F751" s="37" t="s">
        <v>700</v>
      </c>
      <c r="G751" s="37" t="s">
        <v>90</v>
      </c>
      <c r="H751" s="183">
        <f t="shared" ref="H751:J752" si="314">H752</f>
        <v>4837.9799999999996</v>
      </c>
      <c r="I751" s="183">
        <f t="shared" si="314"/>
        <v>4837.9799999999996</v>
      </c>
      <c r="J751" s="183">
        <f t="shared" si="314"/>
        <v>4837.9799999999996</v>
      </c>
      <c r="K751" s="183">
        <v>4837.9799999999996</v>
      </c>
      <c r="L751" s="183">
        <v>4837.9799999999996</v>
      </c>
      <c r="M751" s="183">
        <v>4837.9799999999996</v>
      </c>
      <c r="N751" s="43">
        <f t="shared" si="307"/>
        <v>0</v>
      </c>
      <c r="O751" s="183">
        <v>4837.9799999999996</v>
      </c>
      <c r="P751" s="183">
        <v>4837.9799999999996</v>
      </c>
      <c r="Q751" s="183">
        <v>4837.9799999999996</v>
      </c>
      <c r="R751" s="472">
        <f t="shared" si="310"/>
        <v>0</v>
      </c>
      <c r="S751" s="472">
        <f t="shared" si="311"/>
        <v>0</v>
      </c>
      <c r="T751" s="472">
        <f t="shared" si="312"/>
        <v>0</v>
      </c>
      <c r="U751" s="48" t="s">
        <v>699</v>
      </c>
      <c r="V751" s="36" t="s">
        <v>95</v>
      </c>
      <c r="W751" s="37" t="s">
        <v>13</v>
      </c>
      <c r="X751" s="37" t="s">
        <v>85</v>
      </c>
      <c r="Y751" s="37" t="s">
        <v>700</v>
      </c>
      <c r="Z751" s="37" t="s">
        <v>90</v>
      </c>
      <c r="AA751" s="12" t="b">
        <f t="shared" si="300"/>
        <v>1</v>
      </c>
      <c r="AB751" s="12" t="b">
        <f t="shared" si="301"/>
        <v>1</v>
      </c>
      <c r="AC751" s="12" t="b">
        <f t="shared" si="302"/>
        <v>1</v>
      </c>
      <c r="AD751" s="12" t="b">
        <f t="shared" si="303"/>
        <v>1</v>
      </c>
      <c r="AE751" s="12" t="b">
        <f t="shared" si="304"/>
        <v>1</v>
      </c>
      <c r="AF751" s="12" t="b">
        <f t="shared" si="305"/>
        <v>1</v>
      </c>
    </row>
    <row r="752" spans="1:32" s="49" customFormat="1" ht="15.75" customHeight="1">
      <c r="A752" s="282"/>
      <c r="B752" s="23" t="s">
        <v>916</v>
      </c>
      <c r="C752" s="36" t="s">
        <v>95</v>
      </c>
      <c r="D752" s="37" t="s">
        <v>13</v>
      </c>
      <c r="E752" s="37" t="s">
        <v>85</v>
      </c>
      <c r="F752" s="37" t="s">
        <v>917</v>
      </c>
      <c r="G752" s="37" t="s">
        <v>90</v>
      </c>
      <c r="H752" s="183">
        <f t="shared" si="314"/>
        <v>4837.9799999999996</v>
      </c>
      <c r="I752" s="183">
        <f t="shared" si="314"/>
        <v>4837.9799999999996</v>
      </c>
      <c r="J752" s="183">
        <f t="shared" si="314"/>
        <v>4837.9799999999996</v>
      </c>
      <c r="K752" s="183">
        <v>4837.9799999999996</v>
      </c>
      <c r="L752" s="183">
        <v>4837.9799999999996</v>
      </c>
      <c r="M752" s="183">
        <v>4837.9799999999996</v>
      </c>
      <c r="N752" s="43">
        <f t="shared" si="307"/>
        <v>0</v>
      </c>
      <c r="O752" s="183">
        <v>4837.9799999999996</v>
      </c>
      <c r="P752" s="183">
        <v>4837.9799999999996</v>
      </c>
      <c r="Q752" s="183">
        <v>4837.9799999999996</v>
      </c>
      <c r="R752" s="472">
        <f t="shared" si="310"/>
        <v>0</v>
      </c>
      <c r="S752" s="472">
        <f t="shared" si="311"/>
        <v>0</v>
      </c>
      <c r="T752" s="472">
        <f t="shared" si="312"/>
        <v>0</v>
      </c>
      <c r="U752" s="23" t="s">
        <v>916</v>
      </c>
      <c r="V752" s="36" t="s">
        <v>95</v>
      </c>
      <c r="W752" s="37" t="s">
        <v>13</v>
      </c>
      <c r="X752" s="37" t="s">
        <v>85</v>
      </c>
      <c r="Y752" s="37" t="s">
        <v>917</v>
      </c>
      <c r="Z752" s="37" t="s">
        <v>90</v>
      </c>
      <c r="AA752" s="12" t="b">
        <f t="shared" ref="AA752:AA815" si="315">B752=U752</f>
        <v>1</v>
      </c>
      <c r="AB752" s="12" t="b">
        <f t="shared" ref="AB752:AB815" si="316">C752=V752</f>
        <v>1</v>
      </c>
      <c r="AC752" s="12" t="b">
        <f t="shared" ref="AC752:AC815" si="317">D752=W752</f>
        <v>1</v>
      </c>
      <c r="AD752" s="12" t="b">
        <f t="shared" ref="AD752:AD815" si="318">E752=X752</f>
        <v>1</v>
      </c>
      <c r="AE752" s="12" t="b">
        <f t="shared" ref="AE752:AE815" si="319">F752=Y752</f>
        <v>1</v>
      </c>
      <c r="AF752" s="12" t="b">
        <f t="shared" ref="AF752:AF815" si="320">G752=Z752</f>
        <v>1</v>
      </c>
    </row>
    <row r="753" spans="1:32" s="49" customFormat="1" ht="15.75" customHeight="1">
      <c r="A753" s="282"/>
      <c r="B753" s="182" t="s">
        <v>145</v>
      </c>
      <c r="C753" s="36" t="s">
        <v>95</v>
      </c>
      <c r="D753" s="37" t="s">
        <v>13</v>
      </c>
      <c r="E753" s="37" t="s">
        <v>85</v>
      </c>
      <c r="F753" s="37" t="s">
        <v>917</v>
      </c>
      <c r="G753" s="37" t="s">
        <v>153</v>
      </c>
      <c r="H753" s="183">
        <v>4837.9799999999996</v>
      </c>
      <c r="I753" s="183">
        <v>4837.9799999999996</v>
      </c>
      <c r="J753" s="183">
        <v>4837.9799999999996</v>
      </c>
      <c r="K753" s="183">
        <v>4837.9799999999996</v>
      </c>
      <c r="L753" s="183">
        <v>4837.9799999999996</v>
      </c>
      <c r="M753" s="183">
        <v>4837.9799999999996</v>
      </c>
      <c r="N753" s="43">
        <f t="shared" si="307"/>
        <v>0</v>
      </c>
      <c r="O753" s="183">
        <v>4837.9799999999996</v>
      </c>
      <c r="P753" s="183">
        <v>4837.9799999999996</v>
      </c>
      <c r="Q753" s="183">
        <v>4837.9799999999996</v>
      </c>
      <c r="R753" s="472">
        <f t="shared" si="310"/>
        <v>0</v>
      </c>
      <c r="S753" s="472">
        <f t="shared" si="311"/>
        <v>0</v>
      </c>
      <c r="T753" s="472">
        <f t="shared" si="312"/>
        <v>0</v>
      </c>
      <c r="U753" s="182" t="s">
        <v>145</v>
      </c>
      <c r="V753" s="36" t="s">
        <v>95</v>
      </c>
      <c r="W753" s="37" t="s">
        <v>13</v>
      </c>
      <c r="X753" s="37" t="s">
        <v>85</v>
      </c>
      <c r="Y753" s="37" t="s">
        <v>917</v>
      </c>
      <c r="Z753" s="37" t="s">
        <v>153</v>
      </c>
      <c r="AA753" s="12" t="b">
        <f t="shared" si="315"/>
        <v>1</v>
      </c>
      <c r="AB753" s="12" t="b">
        <f t="shared" si="316"/>
        <v>1</v>
      </c>
      <c r="AC753" s="12" t="b">
        <f t="shared" si="317"/>
        <v>1</v>
      </c>
      <c r="AD753" s="12" t="b">
        <f t="shared" si="318"/>
        <v>1</v>
      </c>
      <c r="AE753" s="12" t="b">
        <f t="shared" si="319"/>
        <v>1</v>
      </c>
      <c r="AF753" s="12" t="b">
        <f t="shared" si="320"/>
        <v>1</v>
      </c>
    </row>
    <row r="754" spans="1:32" s="49" customFormat="1" ht="15.75" customHeight="1">
      <c r="A754" s="282"/>
      <c r="B754" s="48" t="s">
        <v>918</v>
      </c>
      <c r="C754" s="36" t="s">
        <v>95</v>
      </c>
      <c r="D754" s="37" t="s">
        <v>13</v>
      </c>
      <c r="E754" s="37" t="s">
        <v>85</v>
      </c>
      <c r="F754" s="37" t="s">
        <v>701</v>
      </c>
      <c r="G754" s="37" t="s">
        <v>90</v>
      </c>
      <c r="H754" s="183">
        <f t="shared" ref="H754:J755" si="321">H755</f>
        <v>124.8</v>
      </c>
      <c r="I754" s="183">
        <f t="shared" si="321"/>
        <v>92.5</v>
      </c>
      <c r="J754" s="183">
        <f t="shared" si="321"/>
        <v>92.5</v>
      </c>
      <c r="K754" s="183">
        <v>124.8</v>
      </c>
      <c r="L754" s="183">
        <v>92.5</v>
      </c>
      <c r="M754" s="183">
        <v>92.5</v>
      </c>
      <c r="N754" s="43">
        <f t="shared" si="307"/>
        <v>0</v>
      </c>
      <c r="O754" s="183">
        <v>124.8</v>
      </c>
      <c r="P754" s="183">
        <v>92.5</v>
      </c>
      <c r="Q754" s="183">
        <v>92.5</v>
      </c>
      <c r="R754" s="472">
        <f t="shared" si="310"/>
        <v>0</v>
      </c>
      <c r="S754" s="472">
        <f t="shared" si="311"/>
        <v>0</v>
      </c>
      <c r="T754" s="472">
        <f t="shared" si="312"/>
        <v>0</v>
      </c>
      <c r="U754" s="48" t="s">
        <v>918</v>
      </c>
      <c r="V754" s="36" t="s">
        <v>95</v>
      </c>
      <c r="W754" s="37" t="s">
        <v>13</v>
      </c>
      <c r="X754" s="37" t="s">
        <v>85</v>
      </c>
      <c r="Y754" s="37" t="s">
        <v>701</v>
      </c>
      <c r="Z754" s="37" t="s">
        <v>90</v>
      </c>
      <c r="AA754" s="12" t="b">
        <f t="shared" si="315"/>
        <v>1</v>
      </c>
      <c r="AB754" s="12" t="b">
        <f t="shared" si="316"/>
        <v>1</v>
      </c>
      <c r="AC754" s="12" t="b">
        <f t="shared" si="317"/>
        <v>1</v>
      </c>
      <c r="AD754" s="12" t="b">
        <f t="shared" si="318"/>
        <v>1</v>
      </c>
      <c r="AE754" s="12" t="b">
        <f t="shared" si="319"/>
        <v>1</v>
      </c>
      <c r="AF754" s="12" t="b">
        <f t="shared" si="320"/>
        <v>1</v>
      </c>
    </row>
    <row r="755" spans="1:32" s="49" customFormat="1" ht="15.75" customHeight="1">
      <c r="A755" s="282"/>
      <c r="B755" s="47" t="s">
        <v>752</v>
      </c>
      <c r="C755" s="36" t="s">
        <v>95</v>
      </c>
      <c r="D755" s="37" t="s">
        <v>13</v>
      </c>
      <c r="E755" s="37" t="s">
        <v>85</v>
      </c>
      <c r="F755" s="37" t="s">
        <v>919</v>
      </c>
      <c r="G755" s="37" t="s">
        <v>90</v>
      </c>
      <c r="H755" s="183">
        <f t="shared" si="321"/>
        <v>124.8</v>
      </c>
      <c r="I755" s="183">
        <f t="shared" si="321"/>
        <v>92.5</v>
      </c>
      <c r="J755" s="183">
        <f t="shared" si="321"/>
        <v>92.5</v>
      </c>
      <c r="K755" s="183">
        <v>124.8</v>
      </c>
      <c r="L755" s="183">
        <v>92.5</v>
      </c>
      <c r="M755" s="183">
        <v>92.5</v>
      </c>
      <c r="N755" s="43">
        <f t="shared" si="307"/>
        <v>0</v>
      </c>
      <c r="O755" s="183">
        <v>124.8</v>
      </c>
      <c r="P755" s="183">
        <v>92.5</v>
      </c>
      <c r="Q755" s="183">
        <v>92.5</v>
      </c>
      <c r="R755" s="472">
        <f t="shared" si="310"/>
        <v>0</v>
      </c>
      <c r="S755" s="472">
        <f t="shared" si="311"/>
        <v>0</v>
      </c>
      <c r="T755" s="472">
        <f t="shared" si="312"/>
        <v>0</v>
      </c>
      <c r="U755" s="47" t="s">
        <v>752</v>
      </c>
      <c r="V755" s="36" t="s">
        <v>95</v>
      </c>
      <c r="W755" s="37" t="s">
        <v>13</v>
      </c>
      <c r="X755" s="37" t="s">
        <v>85</v>
      </c>
      <c r="Y755" s="37" t="s">
        <v>919</v>
      </c>
      <c r="Z755" s="37" t="s">
        <v>90</v>
      </c>
      <c r="AA755" s="12" t="b">
        <f t="shared" si="315"/>
        <v>1</v>
      </c>
      <c r="AB755" s="12" t="b">
        <f t="shared" si="316"/>
        <v>1</v>
      </c>
      <c r="AC755" s="12" t="b">
        <f t="shared" si="317"/>
        <v>1</v>
      </c>
      <c r="AD755" s="12" t="b">
        <f t="shared" si="318"/>
        <v>1</v>
      </c>
      <c r="AE755" s="12" t="b">
        <f t="shared" si="319"/>
        <v>1</v>
      </c>
      <c r="AF755" s="12" t="b">
        <f t="shared" si="320"/>
        <v>1</v>
      </c>
    </row>
    <row r="756" spans="1:32" s="49" customFormat="1" ht="15.75" customHeight="1">
      <c r="A756" s="282"/>
      <c r="B756" s="182" t="s">
        <v>145</v>
      </c>
      <c r="C756" s="36" t="s">
        <v>95</v>
      </c>
      <c r="D756" s="37" t="s">
        <v>13</v>
      </c>
      <c r="E756" s="37" t="s">
        <v>85</v>
      </c>
      <c r="F756" s="37" t="s">
        <v>919</v>
      </c>
      <c r="G756" s="37" t="s">
        <v>153</v>
      </c>
      <c r="H756" s="183">
        <v>124.8</v>
      </c>
      <c r="I756" s="183">
        <v>92.5</v>
      </c>
      <c r="J756" s="183">
        <v>92.5</v>
      </c>
      <c r="K756" s="183">
        <v>124.8</v>
      </c>
      <c r="L756" s="183">
        <v>92.5</v>
      </c>
      <c r="M756" s="183">
        <v>92.5</v>
      </c>
      <c r="N756" s="43">
        <f t="shared" si="307"/>
        <v>0</v>
      </c>
      <c r="O756" s="183">
        <v>124.8</v>
      </c>
      <c r="P756" s="183">
        <v>92.5</v>
      </c>
      <c r="Q756" s="183">
        <v>92.5</v>
      </c>
      <c r="R756" s="472">
        <f t="shared" si="310"/>
        <v>0</v>
      </c>
      <c r="S756" s="472">
        <f t="shared" si="311"/>
        <v>0</v>
      </c>
      <c r="T756" s="472">
        <f t="shared" si="312"/>
        <v>0</v>
      </c>
      <c r="U756" s="182" t="s">
        <v>145</v>
      </c>
      <c r="V756" s="36" t="s">
        <v>95</v>
      </c>
      <c r="W756" s="37" t="s">
        <v>13</v>
      </c>
      <c r="X756" s="37" t="s">
        <v>85</v>
      </c>
      <c r="Y756" s="37" t="s">
        <v>919</v>
      </c>
      <c r="Z756" s="37" t="s">
        <v>153</v>
      </c>
      <c r="AA756" s="12" t="b">
        <f t="shared" si="315"/>
        <v>1</v>
      </c>
      <c r="AB756" s="12" t="b">
        <f t="shared" si="316"/>
        <v>1</v>
      </c>
      <c r="AC756" s="12" t="b">
        <f t="shared" si="317"/>
        <v>1</v>
      </c>
      <c r="AD756" s="12" t="b">
        <f t="shared" si="318"/>
        <v>1</v>
      </c>
      <c r="AE756" s="12" t="b">
        <f t="shared" si="319"/>
        <v>1</v>
      </c>
      <c r="AF756" s="12" t="b">
        <f t="shared" si="320"/>
        <v>1</v>
      </c>
    </row>
    <row r="757" spans="1:32" s="49" customFormat="1" ht="15.75" customHeight="1">
      <c r="A757" s="282"/>
      <c r="B757" s="182" t="s">
        <v>730</v>
      </c>
      <c r="C757" s="36" t="s">
        <v>95</v>
      </c>
      <c r="D757" s="37" t="s">
        <v>13</v>
      </c>
      <c r="E757" s="37" t="s">
        <v>85</v>
      </c>
      <c r="F757" s="37" t="s">
        <v>702</v>
      </c>
      <c r="G757" s="37" t="s">
        <v>90</v>
      </c>
      <c r="H757" s="183">
        <f t="shared" ref="H757:J758" si="322">H758</f>
        <v>250</v>
      </c>
      <c r="I757" s="183">
        <f>I758</f>
        <v>140</v>
      </c>
      <c r="J757" s="183">
        <f t="shared" si="322"/>
        <v>140</v>
      </c>
      <c r="K757" s="183">
        <v>250</v>
      </c>
      <c r="L757" s="183">
        <v>140</v>
      </c>
      <c r="M757" s="183">
        <v>140</v>
      </c>
      <c r="N757" s="43">
        <f t="shared" si="307"/>
        <v>0</v>
      </c>
      <c r="O757" s="183">
        <v>250</v>
      </c>
      <c r="P757" s="183">
        <v>140</v>
      </c>
      <c r="Q757" s="183">
        <v>140</v>
      </c>
      <c r="R757" s="472">
        <f t="shared" si="310"/>
        <v>0</v>
      </c>
      <c r="S757" s="472">
        <f t="shared" si="311"/>
        <v>0</v>
      </c>
      <c r="T757" s="472">
        <f t="shared" si="312"/>
        <v>0</v>
      </c>
      <c r="U757" s="182" t="s">
        <v>730</v>
      </c>
      <c r="V757" s="36" t="s">
        <v>95</v>
      </c>
      <c r="W757" s="37" t="s">
        <v>13</v>
      </c>
      <c r="X757" s="37" t="s">
        <v>85</v>
      </c>
      <c r="Y757" s="37" t="s">
        <v>702</v>
      </c>
      <c r="Z757" s="37" t="s">
        <v>90</v>
      </c>
      <c r="AA757" s="12" t="b">
        <f t="shared" si="315"/>
        <v>1</v>
      </c>
      <c r="AB757" s="12" t="b">
        <f t="shared" si="316"/>
        <v>1</v>
      </c>
      <c r="AC757" s="12" t="b">
        <f t="shared" si="317"/>
        <v>1</v>
      </c>
      <c r="AD757" s="12" t="b">
        <f t="shared" si="318"/>
        <v>1</v>
      </c>
      <c r="AE757" s="12" t="b">
        <f t="shared" si="319"/>
        <v>1</v>
      </c>
      <c r="AF757" s="12" t="b">
        <f t="shared" si="320"/>
        <v>1</v>
      </c>
    </row>
    <row r="758" spans="1:32" s="49" customFormat="1" ht="15.75" customHeight="1">
      <c r="A758" s="282"/>
      <c r="B758" s="47" t="s">
        <v>753</v>
      </c>
      <c r="C758" s="36" t="s">
        <v>95</v>
      </c>
      <c r="D758" s="37" t="s">
        <v>13</v>
      </c>
      <c r="E758" s="37" t="s">
        <v>85</v>
      </c>
      <c r="F758" s="37" t="s">
        <v>703</v>
      </c>
      <c r="G758" s="37" t="s">
        <v>90</v>
      </c>
      <c r="H758" s="183">
        <f t="shared" si="322"/>
        <v>250</v>
      </c>
      <c r="I758" s="183">
        <f t="shared" si="322"/>
        <v>140</v>
      </c>
      <c r="J758" s="183">
        <f t="shared" si="322"/>
        <v>140</v>
      </c>
      <c r="K758" s="183">
        <v>250</v>
      </c>
      <c r="L758" s="183">
        <v>140</v>
      </c>
      <c r="M758" s="183">
        <v>140</v>
      </c>
      <c r="N758" s="43">
        <f t="shared" si="307"/>
        <v>0</v>
      </c>
      <c r="O758" s="183">
        <v>250</v>
      </c>
      <c r="P758" s="183">
        <v>140</v>
      </c>
      <c r="Q758" s="183">
        <v>140</v>
      </c>
      <c r="R758" s="472">
        <f t="shared" si="310"/>
        <v>0</v>
      </c>
      <c r="S758" s="472">
        <f t="shared" si="311"/>
        <v>0</v>
      </c>
      <c r="T758" s="472">
        <f t="shared" si="312"/>
        <v>0</v>
      </c>
      <c r="U758" s="47" t="s">
        <v>753</v>
      </c>
      <c r="V758" s="36" t="s">
        <v>95</v>
      </c>
      <c r="W758" s="37" t="s">
        <v>13</v>
      </c>
      <c r="X758" s="37" t="s">
        <v>85</v>
      </c>
      <c r="Y758" s="37" t="s">
        <v>703</v>
      </c>
      <c r="Z758" s="37" t="s">
        <v>90</v>
      </c>
      <c r="AA758" s="12" t="b">
        <f t="shared" si="315"/>
        <v>1</v>
      </c>
      <c r="AB758" s="12" t="b">
        <f t="shared" si="316"/>
        <v>1</v>
      </c>
      <c r="AC758" s="12" t="b">
        <f t="shared" si="317"/>
        <v>1</v>
      </c>
      <c r="AD758" s="12" t="b">
        <f t="shared" si="318"/>
        <v>1</v>
      </c>
      <c r="AE758" s="12" t="b">
        <f t="shared" si="319"/>
        <v>1</v>
      </c>
      <c r="AF758" s="12" t="b">
        <f t="shared" si="320"/>
        <v>1</v>
      </c>
    </row>
    <row r="759" spans="1:32" s="49" customFormat="1" ht="15.75" customHeight="1">
      <c r="A759" s="282"/>
      <c r="B759" s="182" t="s">
        <v>145</v>
      </c>
      <c r="C759" s="36" t="s">
        <v>95</v>
      </c>
      <c r="D759" s="37" t="s">
        <v>13</v>
      </c>
      <c r="E759" s="37" t="s">
        <v>85</v>
      </c>
      <c r="F759" s="37" t="s">
        <v>703</v>
      </c>
      <c r="G759" s="37" t="s">
        <v>153</v>
      </c>
      <c r="H759" s="183">
        <v>250</v>
      </c>
      <c r="I759" s="183">
        <v>140</v>
      </c>
      <c r="J759" s="183">
        <v>140</v>
      </c>
      <c r="K759" s="183">
        <v>250</v>
      </c>
      <c r="L759" s="183">
        <v>140</v>
      </c>
      <c r="M759" s="183">
        <v>140</v>
      </c>
      <c r="N759" s="43">
        <f t="shared" si="307"/>
        <v>0</v>
      </c>
      <c r="O759" s="183">
        <v>250</v>
      </c>
      <c r="P759" s="183">
        <v>140</v>
      </c>
      <c r="Q759" s="183">
        <v>140</v>
      </c>
      <c r="R759" s="472">
        <f t="shared" si="310"/>
        <v>0</v>
      </c>
      <c r="S759" s="472">
        <f t="shared" si="311"/>
        <v>0</v>
      </c>
      <c r="T759" s="472">
        <f t="shared" si="312"/>
        <v>0</v>
      </c>
      <c r="U759" s="182" t="s">
        <v>145</v>
      </c>
      <c r="V759" s="36" t="s">
        <v>95</v>
      </c>
      <c r="W759" s="37" t="s">
        <v>13</v>
      </c>
      <c r="X759" s="37" t="s">
        <v>85</v>
      </c>
      <c r="Y759" s="37" t="s">
        <v>703</v>
      </c>
      <c r="Z759" s="37" t="s">
        <v>153</v>
      </c>
      <c r="AA759" s="12" t="b">
        <f t="shared" si="315"/>
        <v>1</v>
      </c>
      <c r="AB759" s="12" t="b">
        <f t="shared" si="316"/>
        <v>1</v>
      </c>
      <c r="AC759" s="12" t="b">
        <f t="shared" si="317"/>
        <v>1</v>
      </c>
      <c r="AD759" s="12" t="b">
        <f t="shared" si="318"/>
        <v>1</v>
      </c>
      <c r="AE759" s="12" t="b">
        <f t="shared" si="319"/>
        <v>1</v>
      </c>
      <c r="AF759" s="12" t="b">
        <f t="shared" si="320"/>
        <v>1</v>
      </c>
    </row>
    <row r="760" spans="1:32" s="49" customFormat="1" ht="15.75" customHeight="1">
      <c r="A760" s="282"/>
      <c r="B760" s="47" t="s">
        <v>175</v>
      </c>
      <c r="C760" s="36" t="s">
        <v>95</v>
      </c>
      <c r="D760" s="37" t="s">
        <v>13</v>
      </c>
      <c r="E760" s="37" t="s">
        <v>85</v>
      </c>
      <c r="F760" s="37" t="s">
        <v>393</v>
      </c>
      <c r="G760" s="37" t="s">
        <v>90</v>
      </c>
      <c r="H760" s="183">
        <f t="shared" ref="H760:J762" si="323">H761</f>
        <v>2608.5</v>
      </c>
      <c r="I760" s="183">
        <f t="shared" si="323"/>
        <v>2608.5</v>
      </c>
      <c r="J760" s="183">
        <f t="shared" si="323"/>
        <v>2608.5</v>
      </c>
      <c r="K760" s="183">
        <v>2608.5</v>
      </c>
      <c r="L760" s="183">
        <v>2608.5</v>
      </c>
      <c r="M760" s="183">
        <v>2608.5</v>
      </c>
      <c r="N760" s="43">
        <f t="shared" si="307"/>
        <v>0</v>
      </c>
      <c r="O760" s="183">
        <v>2608.5</v>
      </c>
      <c r="P760" s="183">
        <v>2608.5</v>
      </c>
      <c r="Q760" s="183">
        <v>2608.5</v>
      </c>
      <c r="R760" s="472">
        <f t="shared" si="310"/>
        <v>0</v>
      </c>
      <c r="S760" s="472">
        <f t="shared" si="311"/>
        <v>0</v>
      </c>
      <c r="T760" s="472">
        <f t="shared" si="312"/>
        <v>0</v>
      </c>
      <c r="U760" s="47" t="s">
        <v>175</v>
      </c>
      <c r="V760" s="36" t="s">
        <v>95</v>
      </c>
      <c r="W760" s="37" t="s">
        <v>13</v>
      </c>
      <c r="X760" s="37" t="s">
        <v>85</v>
      </c>
      <c r="Y760" s="37" t="s">
        <v>393</v>
      </c>
      <c r="Z760" s="37" t="s">
        <v>90</v>
      </c>
      <c r="AA760" s="12" t="b">
        <f t="shared" si="315"/>
        <v>1</v>
      </c>
      <c r="AB760" s="12" t="b">
        <f t="shared" si="316"/>
        <v>1</v>
      </c>
      <c r="AC760" s="12" t="b">
        <f t="shared" si="317"/>
        <v>1</v>
      </c>
      <c r="AD760" s="12" t="b">
        <f t="shared" si="318"/>
        <v>1</v>
      </c>
      <c r="AE760" s="12" t="b">
        <f t="shared" si="319"/>
        <v>1</v>
      </c>
      <c r="AF760" s="12" t="b">
        <f t="shared" si="320"/>
        <v>1</v>
      </c>
    </row>
    <row r="761" spans="1:32" s="49" customFormat="1" ht="15.75" customHeight="1">
      <c r="A761" s="282"/>
      <c r="B761" s="178" t="s">
        <v>1107</v>
      </c>
      <c r="C761" s="36" t="s">
        <v>95</v>
      </c>
      <c r="D761" s="37" t="s">
        <v>13</v>
      </c>
      <c r="E761" s="37" t="s">
        <v>85</v>
      </c>
      <c r="F761" s="37" t="s">
        <v>394</v>
      </c>
      <c r="G761" s="37" t="s">
        <v>90</v>
      </c>
      <c r="H761" s="183">
        <f t="shared" si="323"/>
        <v>2608.5</v>
      </c>
      <c r="I761" s="183">
        <f t="shared" si="323"/>
        <v>2608.5</v>
      </c>
      <c r="J761" s="183">
        <f t="shared" si="323"/>
        <v>2608.5</v>
      </c>
      <c r="K761" s="183">
        <v>2608.5</v>
      </c>
      <c r="L761" s="183">
        <v>2608.5</v>
      </c>
      <c r="M761" s="183">
        <v>2608.5</v>
      </c>
      <c r="N761" s="43">
        <f t="shared" si="307"/>
        <v>0</v>
      </c>
      <c r="O761" s="183">
        <v>2608.5</v>
      </c>
      <c r="P761" s="183">
        <v>2608.5</v>
      </c>
      <c r="Q761" s="183">
        <v>2608.5</v>
      </c>
      <c r="R761" s="472">
        <f t="shared" si="310"/>
        <v>0</v>
      </c>
      <c r="S761" s="472">
        <f t="shared" si="311"/>
        <v>0</v>
      </c>
      <c r="T761" s="472">
        <f t="shared" si="312"/>
        <v>0</v>
      </c>
      <c r="U761" s="178" t="s">
        <v>1107</v>
      </c>
      <c r="V761" s="36" t="s">
        <v>95</v>
      </c>
      <c r="W761" s="37" t="s">
        <v>13</v>
      </c>
      <c r="X761" s="37" t="s">
        <v>85</v>
      </c>
      <c r="Y761" s="37" t="s">
        <v>394</v>
      </c>
      <c r="Z761" s="37" t="s">
        <v>90</v>
      </c>
      <c r="AA761" s="12" t="b">
        <f t="shared" si="315"/>
        <v>1</v>
      </c>
      <c r="AB761" s="12" t="b">
        <f t="shared" si="316"/>
        <v>1</v>
      </c>
      <c r="AC761" s="12" t="b">
        <f t="shared" si="317"/>
        <v>1</v>
      </c>
      <c r="AD761" s="12" t="b">
        <f t="shared" si="318"/>
        <v>1</v>
      </c>
      <c r="AE761" s="12" t="b">
        <f t="shared" si="319"/>
        <v>1</v>
      </c>
      <c r="AF761" s="12" t="b">
        <f t="shared" si="320"/>
        <v>1</v>
      </c>
    </row>
    <row r="762" spans="1:32" s="49" customFormat="1" ht="15.75" customHeight="1">
      <c r="A762" s="282"/>
      <c r="B762" s="47" t="s">
        <v>186</v>
      </c>
      <c r="C762" s="36" t="s">
        <v>95</v>
      </c>
      <c r="D762" s="37" t="s">
        <v>13</v>
      </c>
      <c r="E762" s="37" t="s">
        <v>85</v>
      </c>
      <c r="F762" s="37" t="s">
        <v>676</v>
      </c>
      <c r="G762" s="37" t="s">
        <v>90</v>
      </c>
      <c r="H762" s="183">
        <f t="shared" si="323"/>
        <v>2608.5</v>
      </c>
      <c r="I762" s="183">
        <f t="shared" si="323"/>
        <v>2608.5</v>
      </c>
      <c r="J762" s="183">
        <f t="shared" si="323"/>
        <v>2608.5</v>
      </c>
      <c r="K762" s="183">
        <v>2608.5</v>
      </c>
      <c r="L762" s="183">
        <v>2608.5</v>
      </c>
      <c r="M762" s="183">
        <v>2608.5</v>
      </c>
      <c r="N762" s="43">
        <f t="shared" si="307"/>
        <v>0</v>
      </c>
      <c r="O762" s="183">
        <v>2608.5</v>
      </c>
      <c r="P762" s="183">
        <v>2608.5</v>
      </c>
      <c r="Q762" s="183">
        <v>2608.5</v>
      </c>
      <c r="R762" s="472">
        <f t="shared" si="310"/>
        <v>0</v>
      </c>
      <c r="S762" s="472">
        <f t="shared" si="311"/>
        <v>0</v>
      </c>
      <c r="T762" s="472">
        <f t="shared" si="312"/>
        <v>0</v>
      </c>
      <c r="U762" s="47" t="s">
        <v>186</v>
      </c>
      <c r="V762" s="36" t="s">
        <v>95</v>
      </c>
      <c r="W762" s="37" t="s">
        <v>13</v>
      </c>
      <c r="X762" s="37" t="s">
        <v>85</v>
      </c>
      <c r="Y762" s="37" t="s">
        <v>676</v>
      </c>
      <c r="Z762" s="37" t="s">
        <v>90</v>
      </c>
      <c r="AA762" s="12" t="b">
        <f t="shared" si="315"/>
        <v>1</v>
      </c>
      <c r="AB762" s="12" t="b">
        <f t="shared" si="316"/>
        <v>1</v>
      </c>
      <c r="AC762" s="12" t="b">
        <f t="shared" si="317"/>
        <v>1</v>
      </c>
      <c r="AD762" s="12" t="b">
        <f t="shared" si="318"/>
        <v>1</v>
      </c>
      <c r="AE762" s="12" t="b">
        <f t="shared" si="319"/>
        <v>1</v>
      </c>
      <c r="AF762" s="12" t="b">
        <f t="shared" si="320"/>
        <v>1</v>
      </c>
    </row>
    <row r="763" spans="1:32" s="49" customFormat="1" ht="15.75" customHeight="1">
      <c r="A763" s="282"/>
      <c r="B763" s="23" t="s">
        <v>147</v>
      </c>
      <c r="C763" s="36" t="s">
        <v>95</v>
      </c>
      <c r="D763" s="37" t="s">
        <v>13</v>
      </c>
      <c r="E763" s="37" t="s">
        <v>85</v>
      </c>
      <c r="F763" s="37" t="s">
        <v>676</v>
      </c>
      <c r="G763" s="37" t="s">
        <v>154</v>
      </c>
      <c r="H763" s="183">
        <v>2608.5</v>
      </c>
      <c r="I763" s="183">
        <v>2608.5</v>
      </c>
      <c r="J763" s="183">
        <v>2608.5</v>
      </c>
      <c r="K763" s="183">
        <v>2608.5</v>
      </c>
      <c r="L763" s="183">
        <v>2608.5</v>
      </c>
      <c r="M763" s="183">
        <v>2608.5</v>
      </c>
      <c r="N763" s="43">
        <f t="shared" si="307"/>
        <v>0</v>
      </c>
      <c r="O763" s="183">
        <v>2608.5</v>
      </c>
      <c r="P763" s="183">
        <v>2608.5</v>
      </c>
      <c r="Q763" s="183">
        <v>2608.5</v>
      </c>
      <c r="R763" s="472">
        <f t="shared" si="310"/>
        <v>0</v>
      </c>
      <c r="S763" s="472">
        <f t="shared" si="311"/>
        <v>0</v>
      </c>
      <c r="T763" s="472">
        <f t="shared" si="312"/>
        <v>0</v>
      </c>
      <c r="U763" s="23" t="s">
        <v>147</v>
      </c>
      <c r="V763" s="36" t="s">
        <v>95</v>
      </c>
      <c r="W763" s="37" t="s">
        <v>13</v>
      </c>
      <c r="X763" s="37" t="s">
        <v>85</v>
      </c>
      <c r="Y763" s="37" t="s">
        <v>676</v>
      </c>
      <c r="Z763" s="37" t="s">
        <v>154</v>
      </c>
      <c r="AA763" s="12" t="b">
        <f t="shared" si="315"/>
        <v>1</v>
      </c>
      <c r="AB763" s="12" t="b">
        <f t="shared" si="316"/>
        <v>1</v>
      </c>
      <c r="AC763" s="12" t="b">
        <f t="shared" si="317"/>
        <v>1</v>
      </c>
      <c r="AD763" s="12" t="b">
        <f t="shared" si="318"/>
        <v>1</v>
      </c>
      <c r="AE763" s="12" t="b">
        <f t="shared" si="319"/>
        <v>1</v>
      </c>
      <c r="AF763" s="12" t="b">
        <f t="shared" si="320"/>
        <v>1</v>
      </c>
    </row>
    <row r="764" spans="1:32" s="50" customFormat="1" ht="15.75" customHeight="1">
      <c r="A764" s="290"/>
      <c r="B764" s="32" t="s">
        <v>30</v>
      </c>
      <c r="C764" s="33" t="s">
        <v>95</v>
      </c>
      <c r="D764" s="34" t="s">
        <v>13</v>
      </c>
      <c r="E764" s="34" t="s">
        <v>69</v>
      </c>
      <c r="F764" s="34" t="s">
        <v>223</v>
      </c>
      <c r="G764" s="34" t="s">
        <v>90</v>
      </c>
      <c r="H764" s="35">
        <f t="shared" ref="H764:J765" si="324">H765</f>
        <v>1019263.8900000001</v>
      </c>
      <c r="I764" s="35">
        <f t="shared" si="324"/>
        <v>434756.32999999996</v>
      </c>
      <c r="J764" s="35">
        <f t="shared" si="324"/>
        <v>370711.01</v>
      </c>
      <c r="K764" s="35">
        <v>973455.46000000008</v>
      </c>
      <c r="L764" s="35">
        <v>475112.05999999994</v>
      </c>
      <c r="M764" s="35">
        <v>427202.42000000004</v>
      </c>
      <c r="N764" s="43">
        <f t="shared" ref="N764:N816" si="325">K764-H764</f>
        <v>-45808.430000000051</v>
      </c>
      <c r="O764" s="35">
        <v>973455.46000000008</v>
      </c>
      <c r="P764" s="35">
        <v>475112.05999999994</v>
      </c>
      <c r="Q764" s="35">
        <v>427202.42000000004</v>
      </c>
      <c r="R764" s="472">
        <f t="shared" si="310"/>
        <v>45808.430000000051</v>
      </c>
      <c r="S764" s="472">
        <f t="shared" si="311"/>
        <v>-40355.729999999981</v>
      </c>
      <c r="T764" s="472">
        <f t="shared" si="312"/>
        <v>-56491.410000000033</v>
      </c>
      <c r="U764" s="32" t="s">
        <v>30</v>
      </c>
      <c r="V764" s="33" t="s">
        <v>95</v>
      </c>
      <c r="W764" s="34" t="s">
        <v>13</v>
      </c>
      <c r="X764" s="34" t="s">
        <v>69</v>
      </c>
      <c r="Y764" s="34" t="s">
        <v>223</v>
      </c>
      <c r="Z764" s="34" t="s">
        <v>90</v>
      </c>
      <c r="AA764" s="12" t="b">
        <f t="shared" si="315"/>
        <v>1</v>
      </c>
      <c r="AB764" s="12" t="b">
        <f t="shared" si="316"/>
        <v>1</v>
      </c>
      <c r="AC764" s="12" t="b">
        <f t="shared" si="317"/>
        <v>1</v>
      </c>
      <c r="AD764" s="12" t="b">
        <f t="shared" si="318"/>
        <v>1</v>
      </c>
      <c r="AE764" s="12" t="b">
        <f t="shared" si="319"/>
        <v>1</v>
      </c>
      <c r="AF764" s="12" t="b">
        <f t="shared" si="320"/>
        <v>1</v>
      </c>
    </row>
    <row r="765" spans="1:32" s="50" customFormat="1" ht="15.75" customHeight="1">
      <c r="A765" s="290"/>
      <c r="B765" s="47" t="s">
        <v>650</v>
      </c>
      <c r="C765" s="36" t="s">
        <v>95</v>
      </c>
      <c r="D765" s="37" t="s">
        <v>13</v>
      </c>
      <c r="E765" s="37" t="s">
        <v>69</v>
      </c>
      <c r="F765" s="37" t="s">
        <v>313</v>
      </c>
      <c r="G765" s="37" t="s">
        <v>90</v>
      </c>
      <c r="H765" s="183">
        <f t="shared" si="324"/>
        <v>1019263.8900000001</v>
      </c>
      <c r="I765" s="183">
        <f t="shared" si="324"/>
        <v>434756.32999999996</v>
      </c>
      <c r="J765" s="183">
        <f t="shared" si="324"/>
        <v>370711.01</v>
      </c>
      <c r="K765" s="183">
        <v>973455.46000000008</v>
      </c>
      <c r="L765" s="183">
        <v>475112.05999999994</v>
      </c>
      <c r="M765" s="183">
        <v>427202.42000000004</v>
      </c>
      <c r="N765" s="43">
        <f t="shared" si="325"/>
        <v>-45808.430000000051</v>
      </c>
      <c r="O765" s="183">
        <v>973455.46000000008</v>
      </c>
      <c r="P765" s="183">
        <v>475112.05999999994</v>
      </c>
      <c r="Q765" s="183">
        <v>427202.42000000004</v>
      </c>
      <c r="R765" s="472">
        <f t="shared" si="310"/>
        <v>45808.430000000051</v>
      </c>
      <c r="S765" s="472">
        <f t="shared" si="311"/>
        <v>-40355.729999999981</v>
      </c>
      <c r="T765" s="472">
        <f t="shared" si="312"/>
        <v>-56491.410000000033</v>
      </c>
      <c r="U765" s="47" t="s">
        <v>650</v>
      </c>
      <c r="V765" s="36" t="s">
        <v>95</v>
      </c>
      <c r="W765" s="37" t="s">
        <v>13</v>
      </c>
      <c r="X765" s="37" t="s">
        <v>69</v>
      </c>
      <c r="Y765" s="37" t="s">
        <v>313</v>
      </c>
      <c r="Z765" s="37" t="s">
        <v>90</v>
      </c>
      <c r="AA765" s="12" t="b">
        <f t="shared" si="315"/>
        <v>1</v>
      </c>
      <c r="AB765" s="12" t="b">
        <f t="shared" si="316"/>
        <v>1</v>
      </c>
      <c r="AC765" s="12" t="b">
        <f t="shared" si="317"/>
        <v>1</v>
      </c>
      <c r="AD765" s="12" t="b">
        <f t="shared" si="318"/>
        <v>1</v>
      </c>
      <c r="AE765" s="12" t="b">
        <f t="shared" si="319"/>
        <v>1</v>
      </c>
      <c r="AF765" s="12" t="b">
        <f t="shared" si="320"/>
        <v>1</v>
      </c>
    </row>
    <row r="766" spans="1:32" s="50" customFormat="1" ht="15.75" customHeight="1">
      <c r="A766" s="290"/>
      <c r="B766" s="45" t="s">
        <v>651</v>
      </c>
      <c r="C766" s="36" t="s">
        <v>95</v>
      </c>
      <c r="D766" s="37" t="s">
        <v>13</v>
      </c>
      <c r="E766" s="37" t="s">
        <v>69</v>
      </c>
      <c r="F766" s="37" t="s">
        <v>366</v>
      </c>
      <c r="G766" s="37" t="s">
        <v>90</v>
      </c>
      <c r="H766" s="183">
        <f>H767+H781</f>
        <v>1019263.8900000001</v>
      </c>
      <c r="I766" s="183">
        <f>I767+I781</f>
        <v>434756.32999999996</v>
      </c>
      <c r="J766" s="183">
        <f>J767+J781</f>
        <v>370711.01</v>
      </c>
      <c r="K766" s="183">
        <v>973455.46000000008</v>
      </c>
      <c r="L766" s="183">
        <v>475112.05999999994</v>
      </c>
      <c r="M766" s="183">
        <v>427202.42000000004</v>
      </c>
      <c r="N766" s="43">
        <f t="shared" si="325"/>
        <v>-45808.430000000051</v>
      </c>
      <c r="O766" s="183">
        <v>973455.46000000008</v>
      </c>
      <c r="P766" s="183">
        <v>475112.05999999994</v>
      </c>
      <c r="Q766" s="183">
        <v>427202.42000000004</v>
      </c>
      <c r="R766" s="472">
        <f t="shared" si="310"/>
        <v>45808.430000000051</v>
      </c>
      <c r="S766" s="472">
        <f t="shared" si="311"/>
        <v>-40355.729999999981</v>
      </c>
      <c r="T766" s="472">
        <f t="shared" si="312"/>
        <v>-56491.410000000033</v>
      </c>
      <c r="U766" s="45" t="s">
        <v>651</v>
      </c>
      <c r="V766" s="36" t="s">
        <v>95</v>
      </c>
      <c r="W766" s="37" t="s">
        <v>13</v>
      </c>
      <c r="X766" s="37" t="s">
        <v>69</v>
      </c>
      <c r="Y766" s="37" t="s">
        <v>366</v>
      </c>
      <c r="Z766" s="37" t="s">
        <v>90</v>
      </c>
      <c r="AA766" s="12" t="b">
        <f t="shared" si="315"/>
        <v>1</v>
      </c>
      <c r="AB766" s="12" t="b">
        <f t="shared" si="316"/>
        <v>1</v>
      </c>
      <c r="AC766" s="12" t="b">
        <f t="shared" si="317"/>
        <v>1</v>
      </c>
      <c r="AD766" s="12" t="b">
        <f t="shared" si="318"/>
        <v>1</v>
      </c>
      <c r="AE766" s="12" t="b">
        <f t="shared" si="319"/>
        <v>1</v>
      </c>
      <c r="AF766" s="12" t="b">
        <f t="shared" si="320"/>
        <v>1</v>
      </c>
    </row>
    <row r="767" spans="1:32" s="44" customFormat="1" ht="15.75" customHeight="1">
      <c r="A767" s="285"/>
      <c r="B767" s="46" t="s">
        <v>372</v>
      </c>
      <c r="C767" s="36" t="s">
        <v>95</v>
      </c>
      <c r="D767" s="37" t="s">
        <v>13</v>
      </c>
      <c r="E767" s="37" t="s">
        <v>69</v>
      </c>
      <c r="F767" s="37" t="s">
        <v>373</v>
      </c>
      <c r="G767" s="37" t="s">
        <v>90</v>
      </c>
      <c r="H767" s="183">
        <f t="shared" ref="H767:I767" si="326">H768+H773+H776+H770+H779</f>
        <v>798974.8</v>
      </c>
      <c r="I767" s="183">
        <f t="shared" si="326"/>
        <v>296428.06999999995</v>
      </c>
      <c r="J767" s="183">
        <f t="shared" ref="J767" si="327">J768+J773+J776+J770+J779</f>
        <v>320955.65000000002</v>
      </c>
      <c r="K767" s="183">
        <v>781145.82000000007</v>
      </c>
      <c r="L767" s="183">
        <v>353321.18999999994</v>
      </c>
      <c r="M767" s="183">
        <v>377848.77</v>
      </c>
      <c r="N767" s="43">
        <f t="shared" si="325"/>
        <v>-17828.979999999981</v>
      </c>
      <c r="O767" s="183">
        <v>781145.82000000007</v>
      </c>
      <c r="P767" s="183">
        <v>353321.18999999994</v>
      </c>
      <c r="Q767" s="183">
        <v>377848.77</v>
      </c>
      <c r="R767" s="472">
        <f t="shared" si="310"/>
        <v>17828.979999999981</v>
      </c>
      <c r="S767" s="472">
        <f t="shared" si="311"/>
        <v>-56893.119999999995</v>
      </c>
      <c r="T767" s="472">
        <f t="shared" si="312"/>
        <v>-56893.119999999995</v>
      </c>
      <c r="U767" s="46" t="s">
        <v>372</v>
      </c>
      <c r="V767" s="36" t="s">
        <v>95</v>
      </c>
      <c r="W767" s="37" t="s">
        <v>13</v>
      </c>
      <c r="X767" s="37" t="s">
        <v>69</v>
      </c>
      <c r="Y767" s="37" t="s">
        <v>373</v>
      </c>
      <c r="Z767" s="37" t="s">
        <v>90</v>
      </c>
      <c r="AA767" s="12" t="b">
        <f t="shared" si="315"/>
        <v>1</v>
      </c>
      <c r="AB767" s="12" t="b">
        <f t="shared" si="316"/>
        <v>1</v>
      </c>
      <c r="AC767" s="12" t="b">
        <f t="shared" si="317"/>
        <v>1</v>
      </c>
      <c r="AD767" s="12" t="b">
        <f t="shared" si="318"/>
        <v>1</v>
      </c>
      <c r="AE767" s="12" t="b">
        <f t="shared" si="319"/>
        <v>1</v>
      </c>
      <c r="AF767" s="12" t="b">
        <f t="shared" si="320"/>
        <v>1</v>
      </c>
    </row>
    <row r="768" spans="1:32" s="44" customFormat="1" ht="15.75" customHeight="1">
      <c r="A768" s="285" t="s">
        <v>799</v>
      </c>
      <c r="B768" s="48" t="s">
        <v>950</v>
      </c>
      <c r="C768" s="36" t="s">
        <v>95</v>
      </c>
      <c r="D768" s="37" t="s">
        <v>13</v>
      </c>
      <c r="E768" s="37" t="s">
        <v>69</v>
      </c>
      <c r="F768" s="37" t="s">
        <v>375</v>
      </c>
      <c r="G768" s="37" t="s">
        <v>90</v>
      </c>
      <c r="H768" s="183">
        <f>H769</f>
        <v>110241.91</v>
      </c>
      <c r="I768" s="183">
        <f>I769</f>
        <v>108792.43</v>
      </c>
      <c r="J768" s="183">
        <f>J769</f>
        <v>113099.11</v>
      </c>
      <c r="K768" s="183">
        <v>104527.41</v>
      </c>
      <c r="L768" s="183">
        <v>108792.43</v>
      </c>
      <c r="M768" s="183">
        <v>113099.11</v>
      </c>
      <c r="N768" s="43">
        <f t="shared" si="325"/>
        <v>-5714.5</v>
      </c>
      <c r="O768" s="183">
        <v>104527.41</v>
      </c>
      <c r="P768" s="183">
        <v>108792.43</v>
      </c>
      <c r="Q768" s="183">
        <v>113099.11</v>
      </c>
      <c r="R768" s="472">
        <f t="shared" si="310"/>
        <v>5714.5</v>
      </c>
      <c r="S768" s="472">
        <f t="shared" si="311"/>
        <v>0</v>
      </c>
      <c r="T768" s="472">
        <f t="shared" si="312"/>
        <v>0</v>
      </c>
      <c r="U768" s="48" t="s">
        <v>950</v>
      </c>
      <c r="V768" s="36" t="s">
        <v>95</v>
      </c>
      <c r="W768" s="37" t="s">
        <v>13</v>
      </c>
      <c r="X768" s="37" t="s">
        <v>69</v>
      </c>
      <c r="Y768" s="37" t="s">
        <v>375</v>
      </c>
      <c r="Z768" s="37" t="s">
        <v>90</v>
      </c>
      <c r="AA768" s="12" t="b">
        <f t="shared" si="315"/>
        <v>1</v>
      </c>
      <c r="AB768" s="12" t="b">
        <f t="shared" si="316"/>
        <v>1</v>
      </c>
      <c r="AC768" s="12" t="b">
        <f t="shared" si="317"/>
        <v>1</v>
      </c>
      <c r="AD768" s="12" t="b">
        <f t="shared" si="318"/>
        <v>1</v>
      </c>
      <c r="AE768" s="12" t="b">
        <f t="shared" si="319"/>
        <v>1</v>
      </c>
      <c r="AF768" s="12" t="b">
        <f t="shared" si="320"/>
        <v>1</v>
      </c>
    </row>
    <row r="769" spans="1:32" s="44" customFormat="1" ht="15.75" customHeight="1">
      <c r="A769" s="285"/>
      <c r="B769" s="23" t="s">
        <v>146</v>
      </c>
      <c r="C769" s="36" t="s">
        <v>95</v>
      </c>
      <c r="D769" s="37" t="s">
        <v>13</v>
      </c>
      <c r="E769" s="37" t="s">
        <v>69</v>
      </c>
      <c r="F769" s="37" t="s">
        <v>375</v>
      </c>
      <c r="G769" s="37" t="s">
        <v>169</v>
      </c>
      <c r="H769" s="183">
        <f>104527.41+5714.5</f>
        <v>110241.91</v>
      </c>
      <c r="I769" s="183">
        <v>108792.43</v>
      </c>
      <c r="J769" s="183">
        <v>113099.11</v>
      </c>
      <c r="K769" s="183">
        <v>104527.41</v>
      </c>
      <c r="L769" s="183">
        <v>108792.43</v>
      </c>
      <c r="M769" s="183">
        <v>113099.11</v>
      </c>
      <c r="N769" s="43">
        <f t="shared" si="325"/>
        <v>-5714.5</v>
      </c>
      <c r="O769" s="183">
        <v>104527.41</v>
      </c>
      <c r="P769" s="183">
        <v>108792.43</v>
      </c>
      <c r="Q769" s="183">
        <v>113099.11</v>
      </c>
      <c r="R769" s="472">
        <f t="shared" si="310"/>
        <v>5714.5</v>
      </c>
      <c r="S769" s="472">
        <f t="shared" si="311"/>
        <v>0</v>
      </c>
      <c r="T769" s="472">
        <f t="shared" si="312"/>
        <v>0</v>
      </c>
      <c r="U769" s="23" t="s">
        <v>146</v>
      </c>
      <c r="V769" s="36" t="s">
        <v>95</v>
      </c>
      <c r="W769" s="37" t="s">
        <v>13</v>
      </c>
      <c r="X769" s="37" t="s">
        <v>69</v>
      </c>
      <c r="Y769" s="37" t="s">
        <v>375</v>
      </c>
      <c r="Z769" s="37" t="s">
        <v>169</v>
      </c>
      <c r="AA769" s="12" t="b">
        <f t="shared" si="315"/>
        <v>1</v>
      </c>
      <c r="AB769" s="12" t="b">
        <f t="shared" si="316"/>
        <v>1</v>
      </c>
      <c r="AC769" s="12" t="b">
        <f t="shared" si="317"/>
        <v>1</v>
      </c>
      <c r="AD769" s="12" t="b">
        <f t="shared" si="318"/>
        <v>1</v>
      </c>
      <c r="AE769" s="12" t="b">
        <f t="shared" si="319"/>
        <v>1</v>
      </c>
      <c r="AF769" s="12" t="b">
        <f t="shared" si="320"/>
        <v>1</v>
      </c>
    </row>
    <row r="770" spans="1:32" s="44" customFormat="1" ht="15.75" customHeight="1">
      <c r="A770" s="285" t="s">
        <v>799</v>
      </c>
      <c r="B770" s="48" t="s">
        <v>579</v>
      </c>
      <c r="C770" s="36" t="s">
        <v>95</v>
      </c>
      <c r="D770" s="37" t="s">
        <v>13</v>
      </c>
      <c r="E770" s="37" t="s">
        <v>69</v>
      </c>
      <c r="F770" s="37" t="s">
        <v>874</v>
      </c>
      <c r="G770" s="37" t="s">
        <v>90</v>
      </c>
      <c r="H770" s="183">
        <f>H771+H772</f>
        <v>143572.85</v>
      </c>
      <c r="I770" s="183">
        <f>I771+I772</f>
        <v>152859.01999999999</v>
      </c>
      <c r="J770" s="183">
        <f>J771+J772</f>
        <v>171688.88</v>
      </c>
      <c r="K770" s="183">
        <v>136088.29</v>
      </c>
      <c r="L770" s="183">
        <v>152859.01999999999</v>
      </c>
      <c r="M770" s="183">
        <v>171688.88</v>
      </c>
      <c r="N770" s="43">
        <f t="shared" si="325"/>
        <v>-7484.5599999999977</v>
      </c>
      <c r="O770" s="183">
        <v>136088.29</v>
      </c>
      <c r="P770" s="183">
        <v>152859.01999999999</v>
      </c>
      <c r="Q770" s="183">
        <v>171688.88</v>
      </c>
      <c r="R770" s="472">
        <f t="shared" si="310"/>
        <v>7484.5599999999977</v>
      </c>
      <c r="S770" s="472">
        <f t="shared" si="311"/>
        <v>0</v>
      </c>
      <c r="T770" s="472">
        <f t="shared" si="312"/>
        <v>0</v>
      </c>
      <c r="U770" s="48" t="s">
        <v>579</v>
      </c>
      <c r="V770" s="36" t="s">
        <v>95</v>
      </c>
      <c r="W770" s="37" t="s">
        <v>13</v>
      </c>
      <c r="X770" s="37" t="s">
        <v>69</v>
      </c>
      <c r="Y770" s="37" t="s">
        <v>874</v>
      </c>
      <c r="Z770" s="37" t="s">
        <v>90</v>
      </c>
      <c r="AA770" s="12" t="b">
        <f t="shared" si="315"/>
        <v>1</v>
      </c>
      <c r="AB770" s="12" t="b">
        <f t="shared" si="316"/>
        <v>1</v>
      </c>
      <c r="AC770" s="12" t="b">
        <f t="shared" si="317"/>
        <v>1</v>
      </c>
      <c r="AD770" s="12" t="b">
        <f t="shared" si="318"/>
        <v>1</v>
      </c>
      <c r="AE770" s="12" t="b">
        <f t="shared" si="319"/>
        <v>1</v>
      </c>
      <c r="AF770" s="12" t="b">
        <f t="shared" si="320"/>
        <v>1</v>
      </c>
    </row>
    <row r="771" spans="1:32" s="44" customFormat="1" ht="15.75" customHeight="1">
      <c r="A771" s="285"/>
      <c r="B771" s="182" t="s">
        <v>145</v>
      </c>
      <c r="C771" s="36" t="s">
        <v>95</v>
      </c>
      <c r="D771" s="37" t="s">
        <v>13</v>
      </c>
      <c r="E771" s="37" t="s">
        <v>69</v>
      </c>
      <c r="F771" s="37" t="s">
        <v>874</v>
      </c>
      <c r="G771" s="37" t="s">
        <v>153</v>
      </c>
      <c r="H771" s="183">
        <f>1693.29+92.81</f>
        <v>1786.1</v>
      </c>
      <c r="I771" s="183">
        <v>1902.02</v>
      </c>
      <c r="J771" s="183">
        <v>2135.88</v>
      </c>
      <c r="K771" s="183">
        <v>1693.29</v>
      </c>
      <c r="L771" s="183">
        <v>1902.02</v>
      </c>
      <c r="M771" s="183">
        <v>2135.88</v>
      </c>
      <c r="N771" s="43">
        <f t="shared" si="325"/>
        <v>-92.809999999999945</v>
      </c>
      <c r="O771" s="183">
        <v>1693.29</v>
      </c>
      <c r="P771" s="183">
        <v>1902.02</v>
      </c>
      <c r="Q771" s="183">
        <v>2135.88</v>
      </c>
      <c r="R771" s="472">
        <f t="shared" si="310"/>
        <v>92.809999999999945</v>
      </c>
      <c r="S771" s="472">
        <f t="shared" si="311"/>
        <v>0</v>
      </c>
      <c r="T771" s="472">
        <f t="shared" si="312"/>
        <v>0</v>
      </c>
      <c r="U771" s="182" t="s">
        <v>145</v>
      </c>
      <c r="V771" s="36" t="s">
        <v>95</v>
      </c>
      <c r="W771" s="37" t="s">
        <v>13</v>
      </c>
      <c r="X771" s="37" t="s">
        <v>69</v>
      </c>
      <c r="Y771" s="37" t="s">
        <v>874</v>
      </c>
      <c r="Z771" s="37" t="s">
        <v>153</v>
      </c>
      <c r="AA771" s="12" t="b">
        <f t="shared" si="315"/>
        <v>1</v>
      </c>
      <c r="AB771" s="12" t="b">
        <f t="shared" si="316"/>
        <v>1</v>
      </c>
      <c r="AC771" s="12" t="b">
        <f t="shared" si="317"/>
        <v>1</v>
      </c>
      <c r="AD771" s="12" t="b">
        <f t="shared" si="318"/>
        <v>1</v>
      </c>
      <c r="AE771" s="12" t="b">
        <f t="shared" si="319"/>
        <v>1</v>
      </c>
      <c r="AF771" s="12" t="b">
        <f t="shared" si="320"/>
        <v>1</v>
      </c>
    </row>
    <row r="772" spans="1:32" s="44" customFormat="1" ht="15.75" customHeight="1">
      <c r="A772" s="285"/>
      <c r="B772" s="23" t="s">
        <v>146</v>
      </c>
      <c r="C772" s="36" t="s">
        <v>95</v>
      </c>
      <c r="D772" s="37" t="s">
        <v>13</v>
      </c>
      <c r="E772" s="37" t="s">
        <v>69</v>
      </c>
      <c r="F772" s="37" t="s">
        <v>874</v>
      </c>
      <c r="G772" s="37" t="s">
        <v>169</v>
      </c>
      <c r="H772" s="183">
        <f>134395+7391.75</f>
        <v>141786.75</v>
      </c>
      <c r="I772" s="183">
        <v>150957</v>
      </c>
      <c r="J772" s="183">
        <v>169553</v>
      </c>
      <c r="K772" s="183">
        <v>134395</v>
      </c>
      <c r="L772" s="183">
        <v>150957</v>
      </c>
      <c r="M772" s="183">
        <v>169553</v>
      </c>
      <c r="N772" s="43">
        <f t="shared" si="325"/>
        <v>-7391.75</v>
      </c>
      <c r="O772" s="183">
        <v>134395</v>
      </c>
      <c r="P772" s="183">
        <v>150957</v>
      </c>
      <c r="Q772" s="183">
        <v>169553</v>
      </c>
      <c r="R772" s="472">
        <f t="shared" si="310"/>
        <v>7391.75</v>
      </c>
      <c r="S772" s="472">
        <f t="shared" si="311"/>
        <v>0</v>
      </c>
      <c r="T772" s="472">
        <f t="shared" si="312"/>
        <v>0</v>
      </c>
      <c r="U772" s="23" t="s">
        <v>146</v>
      </c>
      <c r="V772" s="36" t="s">
        <v>95</v>
      </c>
      <c r="W772" s="37" t="s">
        <v>13</v>
      </c>
      <c r="X772" s="37" t="s">
        <v>69</v>
      </c>
      <c r="Y772" s="37" t="s">
        <v>874</v>
      </c>
      <c r="Z772" s="37" t="s">
        <v>169</v>
      </c>
      <c r="AA772" s="12" t="b">
        <f t="shared" si="315"/>
        <v>1</v>
      </c>
      <c r="AB772" s="12" t="b">
        <f t="shared" si="316"/>
        <v>1</v>
      </c>
      <c r="AC772" s="12" t="b">
        <f t="shared" si="317"/>
        <v>1</v>
      </c>
      <c r="AD772" s="12" t="b">
        <f t="shared" si="318"/>
        <v>1</v>
      </c>
      <c r="AE772" s="12" t="b">
        <f t="shared" si="319"/>
        <v>1</v>
      </c>
      <c r="AF772" s="12" t="b">
        <f t="shared" si="320"/>
        <v>1</v>
      </c>
    </row>
    <row r="773" spans="1:32" s="44" customFormat="1" ht="15.75" customHeight="1">
      <c r="A773" s="285" t="s">
        <v>799</v>
      </c>
      <c r="B773" s="48" t="s">
        <v>577</v>
      </c>
      <c r="C773" s="36" t="s">
        <v>95</v>
      </c>
      <c r="D773" s="37" t="s">
        <v>13</v>
      </c>
      <c r="E773" s="37" t="s">
        <v>69</v>
      </c>
      <c r="F773" s="37" t="s">
        <v>576</v>
      </c>
      <c r="G773" s="37" t="s">
        <v>90</v>
      </c>
      <c r="H773" s="183">
        <f>H775+H774</f>
        <v>35278.18</v>
      </c>
      <c r="I773" s="183">
        <f>I775+I774</f>
        <v>34776.620000000003</v>
      </c>
      <c r="J773" s="183">
        <f>J775+J774</f>
        <v>36167.660000000003</v>
      </c>
      <c r="K773" s="183">
        <v>33439.03</v>
      </c>
      <c r="L773" s="183">
        <v>34776.620000000003</v>
      </c>
      <c r="M773" s="183">
        <v>36167.660000000003</v>
      </c>
      <c r="N773" s="43">
        <f t="shared" si="325"/>
        <v>-1839.1500000000015</v>
      </c>
      <c r="O773" s="183">
        <v>33439.03</v>
      </c>
      <c r="P773" s="183">
        <v>34776.620000000003</v>
      </c>
      <c r="Q773" s="183">
        <v>36167.660000000003</v>
      </c>
      <c r="R773" s="472">
        <f t="shared" si="310"/>
        <v>1839.1500000000015</v>
      </c>
      <c r="S773" s="472">
        <f t="shared" si="311"/>
        <v>0</v>
      </c>
      <c r="T773" s="472">
        <f t="shared" si="312"/>
        <v>0</v>
      </c>
      <c r="U773" s="48" t="s">
        <v>577</v>
      </c>
      <c r="V773" s="36" t="s">
        <v>95</v>
      </c>
      <c r="W773" s="37" t="s">
        <v>13</v>
      </c>
      <c r="X773" s="37" t="s">
        <v>69</v>
      </c>
      <c r="Y773" s="37" t="s">
        <v>576</v>
      </c>
      <c r="Z773" s="37" t="s">
        <v>90</v>
      </c>
      <c r="AA773" s="12" t="b">
        <f t="shared" si="315"/>
        <v>1</v>
      </c>
      <c r="AB773" s="12" t="b">
        <f t="shared" si="316"/>
        <v>1</v>
      </c>
      <c r="AC773" s="12" t="b">
        <f t="shared" si="317"/>
        <v>1</v>
      </c>
      <c r="AD773" s="12" t="b">
        <f t="shared" si="318"/>
        <v>1</v>
      </c>
      <c r="AE773" s="12" t="b">
        <f t="shared" si="319"/>
        <v>1</v>
      </c>
      <c r="AF773" s="12" t="b">
        <f t="shared" si="320"/>
        <v>1</v>
      </c>
    </row>
    <row r="774" spans="1:32" s="44" customFormat="1" ht="15.75" customHeight="1">
      <c r="A774" s="285" t="s">
        <v>799</v>
      </c>
      <c r="B774" s="54" t="s">
        <v>145</v>
      </c>
      <c r="C774" s="56" t="s">
        <v>95</v>
      </c>
      <c r="D774" s="57" t="s">
        <v>13</v>
      </c>
      <c r="E774" s="57" t="s">
        <v>69</v>
      </c>
      <c r="F774" s="57" t="s">
        <v>576</v>
      </c>
      <c r="G774" s="57" t="s">
        <v>153</v>
      </c>
      <c r="H774" s="58">
        <f>330.63+18.21</f>
        <v>348.84</v>
      </c>
      <c r="I774" s="58">
        <v>344.32</v>
      </c>
      <c r="J774" s="58">
        <v>357.66</v>
      </c>
      <c r="K774" s="58">
        <v>330.63</v>
      </c>
      <c r="L774" s="58">
        <v>344.32</v>
      </c>
      <c r="M774" s="58">
        <v>357.66</v>
      </c>
      <c r="N774" s="43">
        <f t="shared" si="325"/>
        <v>-18.20999999999998</v>
      </c>
      <c r="O774" s="58">
        <v>330.63</v>
      </c>
      <c r="P774" s="58">
        <v>344.32</v>
      </c>
      <c r="Q774" s="58">
        <v>357.66</v>
      </c>
      <c r="R774" s="472">
        <f t="shared" si="310"/>
        <v>18.20999999999998</v>
      </c>
      <c r="S774" s="472">
        <f t="shared" si="311"/>
        <v>0</v>
      </c>
      <c r="T774" s="472">
        <f t="shared" si="312"/>
        <v>0</v>
      </c>
      <c r="U774" s="54" t="s">
        <v>145</v>
      </c>
      <c r="V774" s="56" t="s">
        <v>95</v>
      </c>
      <c r="W774" s="57" t="s">
        <v>13</v>
      </c>
      <c r="X774" s="57" t="s">
        <v>69</v>
      </c>
      <c r="Y774" s="57" t="s">
        <v>576</v>
      </c>
      <c r="Z774" s="57" t="s">
        <v>153</v>
      </c>
      <c r="AA774" s="12" t="b">
        <f t="shared" si="315"/>
        <v>1</v>
      </c>
      <c r="AB774" s="12" t="b">
        <f t="shared" si="316"/>
        <v>1</v>
      </c>
      <c r="AC774" s="12" t="b">
        <f t="shared" si="317"/>
        <v>1</v>
      </c>
      <c r="AD774" s="12" t="b">
        <f t="shared" si="318"/>
        <v>1</v>
      </c>
      <c r="AE774" s="12" t="b">
        <f t="shared" si="319"/>
        <v>1</v>
      </c>
      <c r="AF774" s="12" t="b">
        <f t="shared" si="320"/>
        <v>1</v>
      </c>
    </row>
    <row r="775" spans="1:32" s="44" customFormat="1" ht="15.75" customHeight="1">
      <c r="A775" s="285"/>
      <c r="B775" s="65" t="s">
        <v>146</v>
      </c>
      <c r="C775" s="56" t="s">
        <v>95</v>
      </c>
      <c r="D775" s="57" t="s">
        <v>13</v>
      </c>
      <c r="E775" s="57" t="s">
        <v>69</v>
      </c>
      <c r="F775" s="57" t="s">
        <v>576</v>
      </c>
      <c r="G775" s="57" t="s">
        <v>169</v>
      </c>
      <c r="H775" s="58">
        <f>33108.4+1820.94</f>
        <v>34929.340000000004</v>
      </c>
      <c r="I775" s="58">
        <v>34432.300000000003</v>
      </c>
      <c r="J775" s="58">
        <v>35810</v>
      </c>
      <c r="K775" s="58">
        <v>33108.400000000001</v>
      </c>
      <c r="L775" s="58">
        <v>34432.300000000003</v>
      </c>
      <c r="M775" s="58">
        <v>35810</v>
      </c>
      <c r="N775" s="43">
        <f t="shared" si="325"/>
        <v>-1820.9400000000023</v>
      </c>
      <c r="O775" s="58">
        <v>33108.400000000001</v>
      </c>
      <c r="P775" s="58">
        <v>34432.300000000003</v>
      </c>
      <c r="Q775" s="58">
        <v>35810</v>
      </c>
      <c r="R775" s="472">
        <f t="shared" si="310"/>
        <v>1820.9400000000023</v>
      </c>
      <c r="S775" s="472">
        <f t="shared" si="311"/>
        <v>0</v>
      </c>
      <c r="T775" s="472">
        <f t="shared" si="312"/>
        <v>0</v>
      </c>
      <c r="U775" s="65" t="s">
        <v>146</v>
      </c>
      <c r="V775" s="56" t="s">
        <v>95</v>
      </c>
      <c r="W775" s="57" t="s">
        <v>13</v>
      </c>
      <c r="X775" s="57" t="s">
        <v>69</v>
      </c>
      <c r="Y775" s="57" t="s">
        <v>576</v>
      </c>
      <c r="Z775" s="57" t="s">
        <v>169</v>
      </c>
      <c r="AA775" s="12" t="b">
        <f t="shared" si="315"/>
        <v>1</v>
      </c>
      <c r="AB775" s="12" t="b">
        <f t="shared" si="316"/>
        <v>1</v>
      </c>
      <c r="AC775" s="12" t="b">
        <f t="shared" si="317"/>
        <v>1</v>
      </c>
      <c r="AD775" s="12" t="b">
        <f t="shared" si="318"/>
        <v>1</v>
      </c>
      <c r="AE775" s="12" t="b">
        <f t="shared" si="319"/>
        <v>1</v>
      </c>
      <c r="AF775" s="12" t="b">
        <f t="shared" si="320"/>
        <v>1</v>
      </c>
    </row>
    <row r="776" spans="1:32" s="44" customFormat="1" ht="15.75" customHeight="1">
      <c r="A776" s="285" t="s">
        <v>799</v>
      </c>
      <c r="B776" s="48" t="s">
        <v>876</v>
      </c>
      <c r="C776" s="36" t="s">
        <v>95</v>
      </c>
      <c r="D776" s="37" t="s">
        <v>13</v>
      </c>
      <c r="E776" s="37" t="s">
        <v>69</v>
      </c>
      <c r="F776" s="37" t="s">
        <v>854</v>
      </c>
      <c r="G776" s="37" t="s">
        <v>90</v>
      </c>
      <c r="H776" s="183">
        <f>H778+H777</f>
        <v>429.57</v>
      </c>
      <c r="I776" s="183">
        <v>0</v>
      </c>
      <c r="J776" s="183">
        <f>J778+J777</f>
        <v>0</v>
      </c>
      <c r="K776" s="183">
        <v>429.57</v>
      </c>
      <c r="L776" s="183">
        <v>0</v>
      </c>
      <c r="M776" s="183">
        <v>0</v>
      </c>
      <c r="N776" s="43">
        <f t="shared" si="325"/>
        <v>0</v>
      </c>
      <c r="O776" s="183">
        <v>429.57</v>
      </c>
      <c r="P776" s="183">
        <v>0</v>
      </c>
      <c r="Q776" s="183">
        <v>0</v>
      </c>
      <c r="R776" s="472">
        <f t="shared" si="310"/>
        <v>0</v>
      </c>
      <c r="S776" s="472">
        <f t="shared" si="311"/>
        <v>0</v>
      </c>
      <c r="T776" s="472">
        <f t="shared" si="312"/>
        <v>0</v>
      </c>
      <c r="U776" s="48" t="s">
        <v>876</v>
      </c>
      <c r="V776" s="36" t="s">
        <v>95</v>
      </c>
      <c r="W776" s="37" t="s">
        <v>13</v>
      </c>
      <c r="X776" s="37" t="s">
        <v>69</v>
      </c>
      <c r="Y776" s="37" t="s">
        <v>854</v>
      </c>
      <c r="Z776" s="37" t="s">
        <v>90</v>
      </c>
      <c r="AA776" s="12" t="b">
        <f t="shared" si="315"/>
        <v>1</v>
      </c>
      <c r="AB776" s="12" t="b">
        <f t="shared" si="316"/>
        <v>1</v>
      </c>
      <c r="AC776" s="12" t="b">
        <f t="shared" si="317"/>
        <v>1</v>
      </c>
      <c r="AD776" s="12" t="b">
        <f t="shared" si="318"/>
        <v>1</v>
      </c>
      <c r="AE776" s="12" t="b">
        <f t="shared" si="319"/>
        <v>1</v>
      </c>
      <c r="AF776" s="12" t="b">
        <f t="shared" si="320"/>
        <v>1</v>
      </c>
    </row>
    <row r="777" spans="1:32" s="44" customFormat="1" ht="15.75" customHeight="1">
      <c r="A777" s="285"/>
      <c r="B777" s="48" t="s">
        <v>145</v>
      </c>
      <c r="C777" s="36" t="s">
        <v>95</v>
      </c>
      <c r="D777" s="37" t="s">
        <v>13</v>
      </c>
      <c r="E777" s="37" t="s">
        <v>69</v>
      </c>
      <c r="F777" s="37" t="s">
        <v>854</v>
      </c>
      <c r="G777" s="37" t="s">
        <v>153</v>
      </c>
      <c r="H777" s="183">
        <v>4.57</v>
      </c>
      <c r="I777" s="183">
        <v>0</v>
      </c>
      <c r="J777" s="183">
        <v>0</v>
      </c>
      <c r="K777" s="183">
        <v>4.57</v>
      </c>
      <c r="L777" s="183">
        <v>0</v>
      </c>
      <c r="M777" s="183">
        <v>0</v>
      </c>
      <c r="N777" s="43">
        <f t="shared" si="325"/>
        <v>0</v>
      </c>
      <c r="O777" s="183">
        <v>4.57</v>
      </c>
      <c r="P777" s="183">
        <v>0</v>
      </c>
      <c r="Q777" s="183">
        <v>0</v>
      </c>
      <c r="R777" s="472">
        <f t="shared" si="310"/>
        <v>0</v>
      </c>
      <c r="S777" s="472">
        <f t="shared" si="311"/>
        <v>0</v>
      </c>
      <c r="T777" s="472">
        <f t="shared" si="312"/>
        <v>0</v>
      </c>
      <c r="U777" s="48" t="s">
        <v>145</v>
      </c>
      <c r="V777" s="36" t="s">
        <v>95</v>
      </c>
      <c r="W777" s="37" t="s">
        <v>13</v>
      </c>
      <c r="X777" s="37" t="s">
        <v>69</v>
      </c>
      <c r="Y777" s="37" t="s">
        <v>854</v>
      </c>
      <c r="Z777" s="37" t="s">
        <v>153</v>
      </c>
      <c r="AA777" s="12" t="b">
        <f t="shared" si="315"/>
        <v>1</v>
      </c>
      <c r="AB777" s="12" t="b">
        <f t="shared" si="316"/>
        <v>1</v>
      </c>
      <c r="AC777" s="12" t="b">
        <f t="shared" si="317"/>
        <v>1</v>
      </c>
      <c r="AD777" s="12" t="b">
        <f t="shared" si="318"/>
        <v>1</v>
      </c>
      <c r="AE777" s="12" t="b">
        <f t="shared" si="319"/>
        <v>1</v>
      </c>
      <c r="AF777" s="12" t="b">
        <f t="shared" si="320"/>
        <v>1</v>
      </c>
    </row>
    <row r="778" spans="1:32" s="44" customFormat="1" ht="15.75" customHeight="1">
      <c r="A778" s="285"/>
      <c r="B778" s="178" t="s">
        <v>147</v>
      </c>
      <c r="C778" s="36" t="s">
        <v>95</v>
      </c>
      <c r="D778" s="37" t="s">
        <v>13</v>
      </c>
      <c r="E778" s="37" t="s">
        <v>69</v>
      </c>
      <c r="F778" s="37" t="s">
        <v>854</v>
      </c>
      <c r="G778" s="37" t="s">
        <v>154</v>
      </c>
      <c r="H778" s="183">
        <v>425</v>
      </c>
      <c r="I778" s="183">
        <v>0</v>
      </c>
      <c r="J778" s="183">
        <v>0</v>
      </c>
      <c r="K778" s="183">
        <v>425</v>
      </c>
      <c r="L778" s="183">
        <v>0</v>
      </c>
      <c r="M778" s="183">
        <v>0</v>
      </c>
      <c r="N778" s="43">
        <f t="shared" si="325"/>
        <v>0</v>
      </c>
      <c r="O778" s="183">
        <v>425</v>
      </c>
      <c r="P778" s="183">
        <v>0</v>
      </c>
      <c r="Q778" s="183">
        <v>0</v>
      </c>
      <c r="R778" s="472">
        <f t="shared" si="310"/>
        <v>0</v>
      </c>
      <c r="S778" s="472">
        <f t="shared" si="311"/>
        <v>0</v>
      </c>
      <c r="T778" s="472">
        <f t="shared" si="312"/>
        <v>0</v>
      </c>
      <c r="U778" s="178" t="s">
        <v>147</v>
      </c>
      <c r="V778" s="36" t="s">
        <v>95</v>
      </c>
      <c r="W778" s="37" t="s">
        <v>13</v>
      </c>
      <c r="X778" s="37" t="s">
        <v>69</v>
      </c>
      <c r="Y778" s="37" t="s">
        <v>854</v>
      </c>
      <c r="Z778" s="37" t="s">
        <v>154</v>
      </c>
      <c r="AA778" s="12" t="b">
        <f t="shared" si="315"/>
        <v>1</v>
      </c>
      <c r="AB778" s="12" t="b">
        <f t="shared" si="316"/>
        <v>1</v>
      </c>
      <c r="AC778" s="12" t="b">
        <f t="shared" si="317"/>
        <v>1</v>
      </c>
      <c r="AD778" s="12" t="b">
        <f t="shared" si="318"/>
        <v>1</v>
      </c>
      <c r="AE778" s="12" t="b">
        <f t="shared" si="319"/>
        <v>1</v>
      </c>
      <c r="AF778" s="12" t="b">
        <f t="shared" si="320"/>
        <v>1</v>
      </c>
    </row>
    <row r="779" spans="1:32" s="44" customFormat="1" ht="15.75" customHeight="1">
      <c r="A779" s="285" t="s">
        <v>799</v>
      </c>
      <c r="B779" s="48" t="s">
        <v>973</v>
      </c>
      <c r="C779" s="36" t="s">
        <v>95</v>
      </c>
      <c r="D779" s="37" t="s">
        <v>13</v>
      </c>
      <c r="E779" s="37" t="s">
        <v>69</v>
      </c>
      <c r="F779" s="37" t="s">
        <v>972</v>
      </c>
      <c r="G779" s="37" t="s">
        <v>90</v>
      </c>
      <c r="H779" s="183">
        <f>H780</f>
        <v>509452.29000000004</v>
      </c>
      <c r="I779" s="183">
        <f>I780</f>
        <v>0</v>
      </c>
      <c r="J779" s="183">
        <f>J780</f>
        <v>0</v>
      </c>
      <c r="K779" s="183">
        <v>506661.52</v>
      </c>
      <c r="L779" s="183">
        <v>56893.120000000003</v>
      </c>
      <c r="M779" s="183">
        <v>56893.120000000003</v>
      </c>
      <c r="N779" s="43">
        <f t="shared" si="325"/>
        <v>-2790.7700000000186</v>
      </c>
      <c r="O779" s="183">
        <v>506661.52</v>
      </c>
      <c r="P779" s="183">
        <v>56893.120000000003</v>
      </c>
      <c r="Q779" s="183">
        <v>56893.120000000003</v>
      </c>
      <c r="R779" s="472">
        <f t="shared" si="310"/>
        <v>2790.7700000000186</v>
      </c>
      <c r="S779" s="472">
        <f t="shared" si="311"/>
        <v>-56893.120000000003</v>
      </c>
      <c r="T779" s="472">
        <f t="shared" si="312"/>
        <v>-56893.120000000003</v>
      </c>
      <c r="U779" s="48" t="s">
        <v>973</v>
      </c>
      <c r="V779" s="36" t="s">
        <v>95</v>
      </c>
      <c r="W779" s="37" t="s">
        <v>13</v>
      </c>
      <c r="X779" s="37" t="s">
        <v>69</v>
      </c>
      <c r="Y779" s="37" t="s">
        <v>972</v>
      </c>
      <c r="Z779" s="37" t="s">
        <v>90</v>
      </c>
      <c r="AA779" s="12" t="b">
        <f t="shared" si="315"/>
        <v>1</v>
      </c>
      <c r="AB779" s="12" t="b">
        <f t="shared" si="316"/>
        <v>1</v>
      </c>
      <c r="AC779" s="12" t="b">
        <f t="shared" si="317"/>
        <v>1</v>
      </c>
      <c r="AD779" s="12" t="b">
        <f t="shared" si="318"/>
        <v>1</v>
      </c>
      <c r="AE779" s="12" t="b">
        <f t="shared" si="319"/>
        <v>1</v>
      </c>
      <c r="AF779" s="12" t="b">
        <f t="shared" si="320"/>
        <v>1</v>
      </c>
    </row>
    <row r="780" spans="1:32" s="44" customFormat="1" ht="15.75" customHeight="1">
      <c r="A780" s="285"/>
      <c r="B780" s="23" t="s">
        <v>146</v>
      </c>
      <c r="C780" s="36" t="s">
        <v>95</v>
      </c>
      <c r="D780" s="37" t="s">
        <v>13</v>
      </c>
      <c r="E780" s="37" t="s">
        <v>69</v>
      </c>
      <c r="F780" s="37" t="s">
        <v>972</v>
      </c>
      <c r="G780" s="37" t="s">
        <v>169</v>
      </c>
      <c r="H780" s="183">
        <f>506661.52+2790.77</f>
        <v>509452.29000000004</v>
      </c>
      <c r="I780" s="183">
        <v>0</v>
      </c>
      <c r="J780" s="183">
        <v>0</v>
      </c>
      <c r="K780" s="183">
        <v>506661.52</v>
      </c>
      <c r="L780" s="183">
        <v>56893.120000000003</v>
      </c>
      <c r="M780" s="183">
        <v>56893.120000000003</v>
      </c>
      <c r="N780" s="43">
        <f t="shared" si="325"/>
        <v>-2790.7700000000186</v>
      </c>
      <c r="O780" s="183">
        <v>506661.52</v>
      </c>
      <c r="P780" s="183">
        <v>56893.120000000003</v>
      </c>
      <c r="Q780" s="183">
        <v>56893.120000000003</v>
      </c>
      <c r="R780" s="472">
        <f t="shared" si="310"/>
        <v>2790.7700000000186</v>
      </c>
      <c r="S780" s="472">
        <f t="shared" si="311"/>
        <v>-56893.120000000003</v>
      </c>
      <c r="T780" s="472">
        <f t="shared" si="312"/>
        <v>-56893.120000000003</v>
      </c>
      <c r="U780" s="178" t="s">
        <v>147</v>
      </c>
      <c r="V780" s="36" t="s">
        <v>95</v>
      </c>
      <c r="W780" s="37" t="s">
        <v>13</v>
      </c>
      <c r="X780" s="37" t="s">
        <v>69</v>
      </c>
      <c r="Y780" s="37" t="s">
        <v>972</v>
      </c>
      <c r="Z780" s="37" t="s">
        <v>154</v>
      </c>
      <c r="AA780" s="12" t="b">
        <f t="shared" si="315"/>
        <v>0</v>
      </c>
      <c r="AB780" s="12" t="b">
        <f t="shared" si="316"/>
        <v>1</v>
      </c>
      <c r="AC780" s="12" t="b">
        <f t="shared" si="317"/>
        <v>1</v>
      </c>
      <c r="AD780" s="12" t="b">
        <f t="shared" si="318"/>
        <v>1</v>
      </c>
      <c r="AE780" s="12" t="b">
        <f t="shared" si="319"/>
        <v>1</v>
      </c>
      <c r="AF780" s="12" t="b">
        <f t="shared" si="320"/>
        <v>0</v>
      </c>
    </row>
    <row r="781" spans="1:32" s="44" customFormat="1" ht="15.75" customHeight="1">
      <c r="A781" s="285" t="s">
        <v>800</v>
      </c>
      <c r="B781" s="182" t="s">
        <v>853</v>
      </c>
      <c r="C781" s="36" t="s">
        <v>95</v>
      </c>
      <c r="D781" s="37" t="s">
        <v>13</v>
      </c>
      <c r="E781" s="37" t="s">
        <v>69</v>
      </c>
      <c r="F781" s="37" t="s">
        <v>852</v>
      </c>
      <c r="G781" s="37" t="s">
        <v>90</v>
      </c>
      <c r="H781" s="183">
        <f>H782</f>
        <v>220289.09000000003</v>
      </c>
      <c r="I781" s="183">
        <f t="shared" ref="I781:J781" si="328">I782</f>
        <v>138328.26</v>
      </c>
      <c r="J781" s="183">
        <f t="shared" si="328"/>
        <v>49755.360000000001</v>
      </c>
      <c r="K781" s="183">
        <v>192309.64</v>
      </c>
      <c r="L781" s="183">
        <v>121790.87</v>
      </c>
      <c r="M781" s="183">
        <v>49353.65</v>
      </c>
      <c r="N781" s="43">
        <f t="shared" si="325"/>
        <v>-27979.450000000012</v>
      </c>
      <c r="O781" s="183">
        <v>192309.64</v>
      </c>
      <c r="P781" s="183">
        <v>121790.87</v>
      </c>
      <c r="Q781" s="183">
        <v>49353.65</v>
      </c>
      <c r="R781" s="472">
        <f t="shared" si="310"/>
        <v>27979.450000000012</v>
      </c>
      <c r="S781" s="472">
        <f t="shared" si="311"/>
        <v>16537.390000000014</v>
      </c>
      <c r="T781" s="472">
        <f t="shared" si="312"/>
        <v>401.70999999999913</v>
      </c>
      <c r="U781" s="182" t="s">
        <v>853</v>
      </c>
      <c r="V781" s="36" t="s">
        <v>95</v>
      </c>
      <c r="W781" s="37" t="s">
        <v>13</v>
      </c>
      <c r="X781" s="37" t="s">
        <v>69</v>
      </c>
      <c r="Y781" s="37" t="s">
        <v>852</v>
      </c>
      <c r="Z781" s="37" t="s">
        <v>90</v>
      </c>
      <c r="AA781" s="12" t="b">
        <f t="shared" si="315"/>
        <v>1</v>
      </c>
      <c r="AB781" s="12" t="b">
        <f t="shared" si="316"/>
        <v>1</v>
      </c>
      <c r="AC781" s="12" t="b">
        <f t="shared" si="317"/>
        <v>1</v>
      </c>
      <c r="AD781" s="12" t="b">
        <f t="shared" si="318"/>
        <v>1</v>
      </c>
      <c r="AE781" s="12" t="b">
        <f t="shared" si="319"/>
        <v>1</v>
      </c>
      <c r="AF781" s="12" t="b">
        <f t="shared" si="320"/>
        <v>1</v>
      </c>
    </row>
    <row r="782" spans="1:32" s="44" customFormat="1" ht="15.75" customHeight="1">
      <c r="A782" s="285"/>
      <c r="B782" s="48" t="s">
        <v>951</v>
      </c>
      <c r="C782" s="36" t="s">
        <v>95</v>
      </c>
      <c r="D782" s="37" t="s">
        <v>13</v>
      </c>
      <c r="E782" s="37" t="s">
        <v>69</v>
      </c>
      <c r="F782" s="37" t="s">
        <v>855</v>
      </c>
      <c r="G782" s="37" t="s">
        <v>90</v>
      </c>
      <c r="H782" s="183">
        <f>H783</f>
        <v>220289.09000000003</v>
      </c>
      <c r="I782" s="183">
        <f>I783</f>
        <v>138328.26</v>
      </c>
      <c r="J782" s="183">
        <f>J783</f>
        <v>49755.360000000001</v>
      </c>
      <c r="K782" s="183">
        <v>192309.64</v>
      </c>
      <c r="L782" s="183">
        <v>121790.87</v>
      </c>
      <c r="M782" s="183">
        <v>49353.65</v>
      </c>
      <c r="N782" s="43">
        <f t="shared" si="325"/>
        <v>-27979.450000000012</v>
      </c>
      <c r="O782" s="183">
        <v>192309.64</v>
      </c>
      <c r="P782" s="183">
        <v>121790.87</v>
      </c>
      <c r="Q782" s="183">
        <v>49353.65</v>
      </c>
      <c r="R782" s="472">
        <f t="shared" si="310"/>
        <v>27979.450000000012</v>
      </c>
      <c r="S782" s="472">
        <f t="shared" si="311"/>
        <v>16537.390000000014</v>
      </c>
      <c r="T782" s="472">
        <f t="shared" si="312"/>
        <v>401.70999999999913</v>
      </c>
      <c r="U782" s="48" t="s">
        <v>951</v>
      </c>
      <c r="V782" s="36" t="s">
        <v>95</v>
      </c>
      <c r="W782" s="37" t="s">
        <v>13</v>
      </c>
      <c r="X782" s="37" t="s">
        <v>69</v>
      </c>
      <c r="Y782" s="37" t="s">
        <v>855</v>
      </c>
      <c r="Z782" s="37" t="s">
        <v>90</v>
      </c>
      <c r="AA782" s="12" t="b">
        <f t="shared" si="315"/>
        <v>1</v>
      </c>
      <c r="AB782" s="12" t="b">
        <f t="shared" si="316"/>
        <v>1</v>
      </c>
      <c r="AC782" s="12" t="b">
        <f t="shared" si="317"/>
        <v>1</v>
      </c>
      <c r="AD782" s="12" t="b">
        <f t="shared" si="318"/>
        <v>1</v>
      </c>
      <c r="AE782" s="12" t="b">
        <f t="shared" si="319"/>
        <v>1</v>
      </c>
      <c r="AF782" s="12" t="b">
        <f t="shared" si="320"/>
        <v>1</v>
      </c>
    </row>
    <row r="783" spans="1:32" s="44" customFormat="1" ht="15.75" customHeight="1">
      <c r="A783" s="285"/>
      <c r="B783" s="23" t="s">
        <v>146</v>
      </c>
      <c r="C783" s="36" t="s">
        <v>95</v>
      </c>
      <c r="D783" s="37" t="s">
        <v>13</v>
      </c>
      <c r="E783" s="37" t="s">
        <v>69</v>
      </c>
      <c r="F783" s="37" t="s">
        <v>855</v>
      </c>
      <c r="G783" s="37" t="s">
        <v>169</v>
      </c>
      <c r="H783" s="183">
        <f>192309.64+27979.45</f>
        <v>220289.09000000003</v>
      </c>
      <c r="I783" s="183">
        <f>121790.87+16537.39</f>
        <v>138328.26</v>
      </c>
      <c r="J783" s="183">
        <f>49353.65+401.71</f>
        <v>49755.360000000001</v>
      </c>
      <c r="K783" s="183">
        <v>192309.64</v>
      </c>
      <c r="L783" s="183">
        <v>121790.87</v>
      </c>
      <c r="M783" s="183">
        <v>49353.65</v>
      </c>
      <c r="N783" s="43">
        <f t="shared" si="325"/>
        <v>-27979.450000000012</v>
      </c>
      <c r="O783" s="183">
        <v>192309.64</v>
      </c>
      <c r="P783" s="183">
        <v>121790.87</v>
      </c>
      <c r="Q783" s="183">
        <v>49353.65</v>
      </c>
      <c r="R783" s="472">
        <f t="shared" si="310"/>
        <v>27979.450000000012</v>
      </c>
      <c r="S783" s="472">
        <f t="shared" si="311"/>
        <v>16537.390000000014</v>
      </c>
      <c r="T783" s="472">
        <f t="shared" si="312"/>
        <v>401.70999999999913</v>
      </c>
      <c r="U783" s="23" t="s">
        <v>146</v>
      </c>
      <c r="V783" s="36" t="s">
        <v>95</v>
      </c>
      <c r="W783" s="37" t="s">
        <v>13</v>
      </c>
      <c r="X783" s="37" t="s">
        <v>69</v>
      </c>
      <c r="Y783" s="37" t="s">
        <v>855</v>
      </c>
      <c r="Z783" s="37" t="s">
        <v>169</v>
      </c>
      <c r="AA783" s="12" t="b">
        <f t="shared" si="315"/>
        <v>1</v>
      </c>
      <c r="AB783" s="12" t="b">
        <f t="shared" si="316"/>
        <v>1</v>
      </c>
      <c r="AC783" s="12" t="b">
        <f t="shared" si="317"/>
        <v>1</v>
      </c>
      <c r="AD783" s="12" t="b">
        <f t="shared" si="318"/>
        <v>1</v>
      </c>
      <c r="AE783" s="12" t="b">
        <f t="shared" si="319"/>
        <v>1</v>
      </c>
      <c r="AF783" s="12" t="b">
        <f t="shared" si="320"/>
        <v>1</v>
      </c>
    </row>
    <row r="784" spans="1:32" s="51" customFormat="1" ht="15.75" customHeight="1">
      <c r="A784" s="291"/>
      <c r="B784" s="32" t="s">
        <v>68</v>
      </c>
      <c r="C784" s="33" t="s">
        <v>95</v>
      </c>
      <c r="D784" s="34" t="s">
        <v>13</v>
      </c>
      <c r="E784" s="34" t="s">
        <v>2</v>
      </c>
      <c r="F784" s="34" t="s">
        <v>223</v>
      </c>
      <c r="G784" s="34" t="s">
        <v>90</v>
      </c>
      <c r="H784" s="35">
        <f>H785+H802</f>
        <v>103199.20999999999</v>
      </c>
      <c r="I784" s="35">
        <f>I785+I802</f>
        <v>98941.209999999992</v>
      </c>
      <c r="J784" s="35">
        <f>J785+J802</f>
        <v>98958.989999999991</v>
      </c>
      <c r="K784" s="35">
        <v>103199.20999999999</v>
      </c>
      <c r="L784" s="35">
        <v>98941.209999999992</v>
      </c>
      <c r="M784" s="35">
        <v>98958.989999999991</v>
      </c>
      <c r="N784" s="43">
        <f t="shared" si="325"/>
        <v>0</v>
      </c>
      <c r="O784" s="35">
        <v>103199.20999999999</v>
      </c>
      <c r="P784" s="35">
        <v>98941.209999999992</v>
      </c>
      <c r="Q784" s="35">
        <v>98958.989999999991</v>
      </c>
      <c r="R784" s="472">
        <f t="shared" si="310"/>
        <v>0</v>
      </c>
      <c r="S784" s="472">
        <f t="shared" si="311"/>
        <v>0</v>
      </c>
      <c r="T784" s="472">
        <f t="shared" si="312"/>
        <v>0</v>
      </c>
      <c r="U784" s="32" t="s">
        <v>68</v>
      </c>
      <c r="V784" s="33" t="s">
        <v>95</v>
      </c>
      <c r="W784" s="34" t="s">
        <v>13</v>
      </c>
      <c r="X784" s="34" t="s">
        <v>2</v>
      </c>
      <c r="Y784" s="34" t="s">
        <v>223</v>
      </c>
      <c r="Z784" s="34" t="s">
        <v>90</v>
      </c>
      <c r="AA784" s="12" t="b">
        <f t="shared" si="315"/>
        <v>1</v>
      </c>
      <c r="AB784" s="12" t="b">
        <f t="shared" si="316"/>
        <v>1</v>
      </c>
      <c r="AC784" s="12" t="b">
        <f t="shared" si="317"/>
        <v>1</v>
      </c>
      <c r="AD784" s="12" t="b">
        <f t="shared" si="318"/>
        <v>1</v>
      </c>
      <c r="AE784" s="12" t="b">
        <f t="shared" si="319"/>
        <v>1</v>
      </c>
      <c r="AF784" s="12" t="b">
        <f t="shared" si="320"/>
        <v>1</v>
      </c>
    </row>
    <row r="785" spans="1:32" s="44" customFormat="1" ht="15.75" customHeight="1">
      <c r="A785" s="285"/>
      <c r="B785" s="47" t="s">
        <v>650</v>
      </c>
      <c r="C785" s="36" t="s">
        <v>95</v>
      </c>
      <c r="D785" s="37" t="s">
        <v>13</v>
      </c>
      <c r="E785" s="37" t="s">
        <v>2</v>
      </c>
      <c r="F785" s="37" t="s">
        <v>313</v>
      </c>
      <c r="G785" s="37" t="s">
        <v>90</v>
      </c>
      <c r="H785" s="183">
        <f>H790+H794+H786</f>
        <v>5737.42</v>
      </c>
      <c r="I785" s="183">
        <f>I790+I794+I786</f>
        <v>5684.65</v>
      </c>
      <c r="J785" s="183">
        <f>J790+J794+J786</f>
        <v>5685.93</v>
      </c>
      <c r="K785" s="183">
        <v>5737.42</v>
      </c>
      <c r="L785" s="183">
        <v>5684.65</v>
      </c>
      <c r="M785" s="183">
        <v>5685.93</v>
      </c>
      <c r="N785" s="43">
        <f t="shared" si="325"/>
        <v>0</v>
      </c>
      <c r="O785" s="183">
        <v>5737.42</v>
      </c>
      <c r="P785" s="183">
        <v>5684.65</v>
      </c>
      <c r="Q785" s="183">
        <v>5685.93</v>
      </c>
      <c r="R785" s="472">
        <f t="shared" si="310"/>
        <v>0</v>
      </c>
      <c r="S785" s="472">
        <f t="shared" si="311"/>
        <v>0</v>
      </c>
      <c r="T785" s="472">
        <f t="shared" si="312"/>
        <v>0</v>
      </c>
      <c r="U785" s="47" t="s">
        <v>650</v>
      </c>
      <c r="V785" s="36" t="s">
        <v>95</v>
      </c>
      <c r="W785" s="37" t="s">
        <v>13</v>
      </c>
      <c r="X785" s="37" t="s">
        <v>2</v>
      </c>
      <c r="Y785" s="37" t="s">
        <v>313</v>
      </c>
      <c r="Z785" s="37" t="s">
        <v>90</v>
      </c>
      <c r="AA785" s="12" t="b">
        <f t="shared" si="315"/>
        <v>1</v>
      </c>
      <c r="AB785" s="12" t="b">
        <f t="shared" si="316"/>
        <v>1</v>
      </c>
      <c r="AC785" s="12" t="b">
        <f t="shared" si="317"/>
        <v>1</v>
      </c>
      <c r="AD785" s="12" t="b">
        <f t="shared" si="318"/>
        <v>1</v>
      </c>
      <c r="AE785" s="12" t="b">
        <f t="shared" si="319"/>
        <v>1</v>
      </c>
      <c r="AF785" s="12" t="b">
        <f t="shared" si="320"/>
        <v>1</v>
      </c>
    </row>
    <row r="786" spans="1:32" s="49" customFormat="1" ht="15.75" customHeight="1">
      <c r="A786" s="282"/>
      <c r="B786" s="45" t="s">
        <v>651</v>
      </c>
      <c r="C786" s="36" t="s">
        <v>95</v>
      </c>
      <c r="D786" s="37" t="s">
        <v>13</v>
      </c>
      <c r="E786" s="37" t="s">
        <v>2</v>
      </c>
      <c r="F786" s="37" t="s">
        <v>366</v>
      </c>
      <c r="G786" s="37" t="s">
        <v>90</v>
      </c>
      <c r="H786" s="183">
        <f>H787</f>
        <v>2600</v>
      </c>
      <c r="I786" s="183">
        <f t="shared" ref="I786:J786" si="329">I787</f>
        <v>2546</v>
      </c>
      <c r="J786" s="183">
        <f t="shared" si="329"/>
        <v>2546</v>
      </c>
      <c r="K786" s="183">
        <v>2600</v>
      </c>
      <c r="L786" s="183">
        <v>2546</v>
      </c>
      <c r="M786" s="183">
        <v>2546</v>
      </c>
      <c r="N786" s="43">
        <f t="shared" si="325"/>
        <v>0</v>
      </c>
      <c r="O786" s="183">
        <v>2600</v>
      </c>
      <c r="P786" s="183">
        <v>2546</v>
      </c>
      <c r="Q786" s="183">
        <v>2546</v>
      </c>
      <c r="R786" s="472">
        <f t="shared" si="310"/>
        <v>0</v>
      </c>
      <c r="S786" s="472">
        <f t="shared" si="311"/>
        <v>0</v>
      </c>
      <c r="T786" s="472">
        <f t="shared" si="312"/>
        <v>0</v>
      </c>
      <c r="U786" s="45" t="s">
        <v>651</v>
      </c>
      <c r="V786" s="36" t="s">
        <v>95</v>
      </c>
      <c r="W786" s="37" t="s">
        <v>13</v>
      </c>
      <c r="X786" s="37" t="s">
        <v>2</v>
      </c>
      <c r="Y786" s="37" t="s">
        <v>366</v>
      </c>
      <c r="Z786" s="37" t="s">
        <v>90</v>
      </c>
      <c r="AA786" s="12" t="b">
        <f t="shared" si="315"/>
        <v>1</v>
      </c>
      <c r="AB786" s="12" t="b">
        <f t="shared" si="316"/>
        <v>1</v>
      </c>
      <c r="AC786" s="12" t="b">
        <f t="shared" si="317"/>
        <v>1</v>
      </c>
      <c r="AD786" s="12" t="b">
        <f t="shared" si="318"/>
        <v>1</v>
      </c>
      <c r="AE786" s="12" t="b">
        <f t="shared" si="319"/>
        <v>1</v>
      </c>
      <c r="AF786" s="12" t="b">
        <f t="shared" si="320"/>
        <v>1</v>
      </c>
    </row>
    <row r="787" spans="1:32" s="49" customFormat="1" ht="15.75" customHeight="1">
      <c r="A787" s="282"/>
      <c r="B787" s="46" t="s">
        <v>367</v>
      </c>
      <c r="C787" s="36" t="s">
        <v>95</v>
      </c>
      <c r="D787" s="37" t="s">
        <v>13</v>
      </c>
      <c r="E787" s="37" t="s">
        <v>2</v>
      </c>
      <c r="F787" s="37" t="s">
        <v>368</v>
      </c>
      <c r="G787" s="37" t="s">
        <v>90</v>
      </c>
      <c r="H787" s="183">
        <f t="shared" ref="H787:J788" si="330">H788</f>
        <v>2600</v>
      </c>
      <c r="I787" s="183">
        <f t="shared" si="330"/>
        <v>2546</v>
      </c>
      <c r="J787" s="183">
        <f t="shared" si="330"/>
        <v>2546</v>
      </c>
      <c r="K787" s="183">
        <v>2600</v>
      </c>
      <c r="L787" s="183">
        <v>2546</v>
      </c>
      <c r="M787" s="183">
        <v>2546</v>
      </c>
      <c r="N787" s="43">
        <f t="shared" si="325"/>
        <v>0</v>
      </c>
      <c r="O787" s="183">
        <v>2600</v>
      </c>
      <c r="P787" s="183">
        <v>2546</v>
      </c>
      <c r="Q787" s="183">
        <v>2546</v>
      </c>
      <c r="R787" s="472">
        <f t="shared" si="310"/>
        <v>0</v>
      </c>
      <c r="S787" s="472">
        <f t="shared" si="311"/>
        <v>0</v>
      </c>
      <c r="T787" s="472">
        <f t="shared" si="312"/>
        <v>0</v>
      </c>
      <c r="U787" s="46" t="s">
        <v>367</v>
      </c>
      <c r="V787" s="36" t="s">
        <v>95</v>
      </c>
      <c r="W787" s="37" t="s">
        <v>13</v>
      </c>
      <c r="X787" s="37" t="s">
        <v>2</v>
      </c>
      <c r="Y787" s="37" t="s">
        <v>368</v>
      </c>
      <c r="Z787" s="37" t="s">
        <v>90</v>
      </c>
      <c r="AA787" s="12" t="b">
        <f t="shared" si="315"/>
        <v>1</v>
      </c>
      <c r="AB787" s="12" t="b">
        <f t="shared" si="316"/>
        <v>1</v>
      </c>
      <c r="AC787" s="12" t="b">
        <f t="shared" si="317"/>
        <v>1</v>
      </c>
      <c r="AD787" s="12" t="b">
        <f t="shared" si="318"/>
        <v>1</v>
      </c>
      <c r="AE787" s="12" t="b">
        <f t="shared" si="319"/>
        <v>1</v>
      </c>
      <c r="AF787" s="12" t="b">
        <f t="shared" si="320"/>
        <v>1</v>
      </c>
    </row>
    <row r="788" spans="1:32" s="49" customFormat="1" ht="15.75" customHeight="1">
      <c r="A788" s="282" t="s">
        <v>800</v>
      </c>
      <c r="B788" s="23" t="s">
        <v>1086</v>
      </c>
      <c r="C788" s="36" t="s">
        <v>95</v>
      </c>
      <c r="D788" s="37" t="s">
        <v>13</v>
      </c>
      <c r="E788" s="37" t="s">
        <v>2</v>
      </c>
      <c r="F788" s="37" t="s">
        <v>370</v>
      </c>
      <c r="G788" s="37" t="s">
        <v>90</v>
      </c>
      <c r="H788" s="183">
        <f t="shared" si="330"/>
        <v>2600</v>
      </c>
      <c r="I788" s="183">
        <f t="shared" si="330"/>
        <v>2546</v>
      </c>
      <c r="J788" s="183">
        <f t="shared" si="330"/>
        <v>2546</v>
      </c>
      <c r="K788" s="183">
        <v>2600</v>
      </c>
      <c r="L788" s="183">
        <v>2546</v>
      </c>
      <c r="M788" s="183">
        <v>2546</v>
      </c>
      <c r="N788" s="43">
        <f t="shared" si="325"/>
        <v>0</v>
      </c>
      <c r="O788" s="183">
        <v>2600</v>
      </c>
      <c r="P788" s="183">
        <v>2546</v>
      </c>
      <c r="Q788" s="183">
        <v>2546</v>
      </c>
      <c r="R788" s="472">
        <f t="shared" si="310"/>
        <v>0</v>
      </c>
      <c r="S788" s="472">
        <f t="shared" si="311"/>
        <v>0</v>
      </c>
      <c r="T788" s="472">
        <f t="shared" si="312"/>
        <v>0</v>
      </c>
      <c r="U788" s="23" t="s">
        <v>1086</v>
      </c>
      <c r="V788" s="36" t="s">
        <v>95</v>
      </c>
      <c r="W788" s="37" t="s">
        <v>13</v>
      </c>
      <c r="X788" s="37" t="s">
        <v>2</v>
      </c>
      <c r="Y788" s="37" t="s">
        <v>370</v>
      </c>
      <c r="Z788" s="37" t="s">
        <v>90</v>
      </c>
      <c r="AA788" s="12" t="b">
        <f t="shared" si="315"/>
        <v>1</v>
      </c>
      <c r="AB788" s="12" t="b">
        <f t="shared" si="316"/>
        <v>1</v>
      </c>
      <c r="AC788" s="12" t="b">
        <f t="shared" si="317"/>
        <v>1</v>
      </c>
      <c r="AD788" s="12" t="b">
        <f t="shared" si="318"/>
        <v>1</v>
      </c>
      <c r="AE788" s="12" t="b">
        <f t="shared" si="319"/>
        <v>1</v>
      </c>
      <c r="AF788" s="12" t="b">
        <f t="shared" si="320"/>
        <v>1</v>
      </c>
    </row>
    <row r="789" spans="1:32" s="49" customFormat="1" ht="15.75" customHeight="1">
      <c r="A789" s="282"/>
      <c r="B789" s="182" t="s">
        <v>144</v>
      </c>
      <c r="C789" s="36" t="s">
        <v>95</v>
      </c>
      <c r="D789" s="37" t="s">
        <v>13</v>
      </c>
      <c r="E789" s="37" t="s">
        <v>2</v>
      </c>
      <c r="F789" s="37" t="s">
        <v>370</v>
      </c>
      <c r="G789" s="37" t="s">
        <v>152</v>
      </c>
      <c r="H789" s="183">
        <v>2600</v>
      </c>
      <c r="I789" s="183">
        <v>2546</v>
      </c>
      <c r="J789" s="183">
        <v>2546</v>
      </c>
      <c r="K789" s="183">
        <v>2600</v>
      </c>
      <c r="L789" s="183">
        <v>2546</v>
      </c>
      <c r="M789" s="183">
        <v>2546</v>
      </c>
      <c r="N789" s="43">
        <f t="shared" si="325"/>
        <v>0</v>
      </c>
      <c r="O789" s="183">
        <v>2600</v>
      </c>
      <c r="P789" s="183">
        <v>2546</v>
      </c>
      <c r="Q789" s="183">
        <v>2546</v>
      </c>
      <c r="R789" s="472">
        <f t="shared" si="310"/>
        <v>0</v>
      </c>
      <c r="S789" s="472">
        <f t="shared" si="311"/>
        <v>0</v>
      </c>
      <c r="T789" s="472">
        <f t="shared" si="312"/>
        <v>0</v>
      </c>
      <c r="U789" s="182" t="s">
        <v>144</v>
      </c>
      <c r="V789" s="36" t="s">
        <v>95</v>
      </c>
      <c r="W789" s="37" t="s">
        <v>13</v>
      </c>
      <c r="X789" s="37" t="s">
        <v>2</v>
      </c>
      <c r="Y789" s="37" t="s">
        <v>370</v>
      </c>
      <c r="Z789" s="37" t="s">
        <v>152</v>
      </c>
      <c r="AA789" s="12" t="b">
        <f t="shared" si="315"/>
        <v>1</v>
      </c>
      <c r="AB789" s="12" t="b">
        <f t="shared" si="316"/>
        <v>1</v>
      </c>
      <c r="AC789" s="12" t="b">
        <f t="shared" si="317"/>
        <v>1</v>
      </c>
      <c r="AD789" s="12" t="b">
        <f t="shared" si="318"/>
        <v>1</v>
      </c>
      <c r="AE789" s="12" t="b">
        <f t="shared" si="319"/>
        <v>1</v>
      </c>
      <c r="AF789" s="12" t="b">
        <f t="shared" si="320"/>
        <v>1</v>
      </c>
    </row>
    <row r="790" spans="1:32" s="49" customFormat="1" ht="15.75" customHeight="1">
      <c r="A790" s="282"/>
      <c r="B790" s="47" t="s">
        <v>729</v>
      </c>
      <c r="C790" s="36" t="s">
        <v>95</v>
      </c>
      <c r="D790" s="37" t="s">
        <v>13</v>
      </c>
      <c r="E790" s="37" t="s">
        <v>2</v>
      </c>
      <c r="F790" s="37" t="s">
        <v>314</v>
      </c>
      <c r="G790" s="37" t="s">
        <v>90</v>
      </c>
      <c r="H790" s="183">
        <f t="shared" ref="H790:J792" si="331">H791</f>
        <v>1232.51</v>
      </c>
      <c r="I790" s="183">
        <f t="shared" si="331"/>
        <v>1232.51</v>
      </c>
      <c r="J790" s="183">
        <f t="shared" si="331"/>
        <v>1232.51</v>
      </c>
      <c r="K790" s="183">
        <v>1232.51</v>
      </c>
      <c r="L790" s="183">
        <v>1232.51</v>
      </c>
      <c r="M790" s="183">
        <v>1232.51</v>
      </c>
      <c r="N790" s="43">
        <f t="shared" si="325"/>
        <v>0</v>
      </c>
      <c r="O790" s="183">
        <v>1232.51</v>
      </c>
      <c r="P790" s="183">
        <v>1232.51</v>
      </c>
      <c r="Q790" s="183">
        <v>1232.51</v>
      </c>
      <c r="R790" s="472">
        <f t="shared" si="310"/>
        <v>0</v>
      </c>
      <c r="S790" s="472">
        <f t="shared" si="311"/>
        <v>0</v>
      </c>
      <c r="T790" s="472">
        <f t="shared" si="312"/>
        <v>0</v>
      </c>
      <c r="U790" s="47" t="s">
        <v>729</v>
      </c>
      <c r="V790" s="36" t="s">
        <v>95</v>
      </c>
      <c r="W790" s="37" t="s">
        <v>13</v>
      </c>
      <c r="X790" s="37" t="s">
        <v>2</v>
      </c>
      <c r="Y790" s="37" t="s">
        <v>314</v>
      </c>
      <c r="Z790" s="37" t="s">
        <v>90</v>
      </c>
      <c r="AA790" s="12" t="b">
        <f t="shared" si="315"/>
        <v>1</v>
      </c>
      <c r="AB790" s="12" t="b">
        <f t="shared" si="316"/>
        <v>1</v>
      </c>
      <c r="AC790" s="12" t="b">
        <f t="shared" si="317"/>
        <v>1</v>
      </c>
      <c r="AD790" s="12" t="b">
        <f t="shared" si="318"/>
        <v>1</v>
      </c>
      <c r="AE790" s="12" t="b">
        <f t="shared" si="319"/>
        <v>1</v>
      </c>
      <c r="AF790" s="12" t="b">
        <f t="shared" si="320"/>
        <v>1</v>
      </c>
    </row>
    <row r="791" spans="1:32" s="49" customFormat="1" ht="15.75" customHeight="1">
      <c r="A791" s="282"/>
      <c r="B791" s="47" t="s">
        <v>706</v>
      </c>
      <c r="C791" s="36" t="s">
        <v>95</v>
      </c>
      <c r="D791" s="37" t="s">
        <v>13</v>
      </c>
      <c r="E791" s="37" t="s">
        <v>2</v>
      </c>
      <c r="F791" s="37" t="s">
        <v>704</v>
      </c>
      <c r="G791" s="37" t="s">
        <v>90</v>
      </c>
      <c r="H791" s="183">
        <f t="shared" si="331"/>
        <v>1232.51</v>
      </c>
      <c r="I791" s="183">
        <f t="shared" si="331"/>
        <v>1232.51</v>
      </c>
      <c r="J791" s="183">
        <f t="shared" si="331"/>
        <v>1232.51</v>
      </c>
      <c r="K791" s="183">
        <v>1232.51</v>
      </c>
      <c r="L791" s="183">
        <v>1232.51</v>
      </c>
      <c r="M791" s="183">
        <v>1232.51</v>
      </c>
      <c r="N791" s="43">
        <f t="shared" si="325"/>
        <v>0</v>
      </c>
      <c r="O791" s="183">
        <v>1232.51</v>
      </c>
      <c r="P791" s="183">
        <v>1232.51</v>
      </c>
      <c r="Q791" s="183">
        <v>1232.51</v>
      </c>
      <c r="R791" s="472">
        <f t="shared" si="310"/>
        <v>0</v>
      </c>
      <c r="S791" s="472">
        <f t="shared" si="311"/>
        <v>0</v>
      </c>
      <c r="T791" s="472">
        <f t="shared" si="312"/>
        <v>0</v>
      </c>
      <c r="U791" s="47" t="s">
        <v>706</v>
      </c>
      <c r="V791" s="36" t="s">
        <v>95</v>
      </c>
      <c r="W791" s="37" t="s">
        <v>13</v>
      </c>
      <c r="X791" s="37" t="s">
        <v>2</v>
      </c>
      <c r="Y791" s="37" t="s">
        <v>704</v>
      </c>
      <c r="Z791" s="37" t="s">
        <v>90</v>
      </c>
      <c r="AA791" s="12" t="b">
        <f t="shared" si="315"/>
        <v>1</v>
      </c>
      <c r="AB791" s="12" t="b">
        <f t="shared" si="316"/>
        <v>1</v>
      </c>
      <c r="AC791" s="12" t="b">
        <f t="shared" si="317"/>
        <v>1</v>
      </c>
      <c r="AD791" s="12" t="b">
        <f t="shared" si="318"/>
        <v>1</v>
      </c>
      <c r="AE791" s="12" t="b">
        <f t="shared" si="319"/>
        <v>1</v>
      </c>
      <c r="AF791" s="12" t="b">
        <f t="shared" si="320"/>
        <v>1</v>
      </c>
    </row>
    <row r="792" spans="1:32" s="49" customFormat="1" ht="15.75" customHeight="1">
      <c r="A792" s="282"/>
      <c r="B792" s="47" t="s">
        <v>518</v>
      </c>
      <c r="C792" s="36" t="s">
        <v>95</v>
      </c>
      <c r="D792" s="37" t="s">
        <v>13</v>
      </c>
      <c r="E792" s="37" t="s">
        <v>2</v>
      </c>
      <c r="F792" s="37" t="s">
        <v>705</v>
      </c>
      <c r="G792" s="37" t="s">
        <v>90</v>
      </c>
      <c r="H792" s="183">
        <f t="shared" si="331"/>
        <v>1232.51</v>
      </c>
      <c r="I792" s="183">
        <f t="shared" si="331"/>
        <v>1232.51</v>
      </c>
      <c r="J792" s="183">
        <f t="shared" si="331"/>
        <v>1232.51</v>
      </c>
      <c r="K792" s="183">
        <v>1232.51</v>
      </c>
      <c r="L792" s="183">
        <v>1232.51</v>
      </c>
      <c r="M792" s="183">
        <v>1232.51</v>
      </c>
      <c r="N792" s="43">
        <f t="shared" si="325"/>
        <v>0</v>
      </c>
      <c r="O792" s="183">
        <v>1232.51</v>
      </c>
      <c r="P792" s="183">
        <v>1232.51</v>
      </c>
      <c r="Q792" s="183">
        <v>1232.51</v>
      </c>
      <c r="R792" s="472">
        <f t="shared" si="310"/>
        <v>0</v>
      </c>
      <c r="S792" s="472">
        <f t="shared" si="311"/>
        <v>0</v>
      </c>
      <c r="T792" s="472">
        <f t="shared" si="312"/>
        <v>0</v>
      </c>
      <c r="U792" s="47" t="s">
        <v>518</v>
      </c>
      <c r="V792" s="36" t="s">
        <v>95</v>
      </c>
      <c r="W792" s="37" t="s">
        <v>13</v>
      </c>
      <c r="X792" s="37" t="s">
        <v>2</v>
      </c>
      <c r="Y792" s="37" t="s">
        <v>705</v>
      </c>
      <c r="Z792" s="37" t="s">
        <v>90</v>
      </c>
      <c r="AA792" s="12" t="b">
        <f t="shared" si="315"/>
        <v>1</v>
      </c>
      <c r="AB792" s="12" t="b">
        <f t="shared" si="316"/>
        <v>1</v>
      </c>
      <c r="AC792" s="12" t="b">
        <f t="shared" si="317"/>
        <v>1</v>
      </c>
      <c r="AD792" s="12" t="b">
        <f t="shared" si="318"/>
        <v>1</v>
      </c>
      <c r="AE792" s="12" t="b">
        <f t="shared" si="319"/>
        <v>1</v>
      </c>
      <c r="AF792" s="12" t="b">
        <f t="shared" si="320"/>
        <v>1</v>
      </c>
    </row>
    <row r="793" spans="1:32" s="49" customFormat="1" ht="15.75" customHeight="1">
      <c r="A793" s="282"/>
      <c r="B793" s="182" t="s">
        <v>983</v>
      </c>
      <c r="C793" s="36" t="s">
        <v>95</v>
      </c>
      <c r="D793" s="37" t="s">
        <v>13</v>
      </c>
      <c r="E793" s="37" t="s">
        <v>2</v>
      </c>
      <c r="F793" s="37" t="s">
        <v>705</v>
      </c>
      <c r="G793" s="37" t="s">
        <v>142</v>
      </c>
      <c r="H793" s="183">
        <v>1232.51</v>
      </c>
      <c r="I793" s="183">
        <v>1232.51</v>
      </c>
      <c r="J793" s="183">
        <v>1232.51</v>
      </c>
      <c r="K793" s="183">
        <v>1232.51</v>
      </c>
      <c r="L793" s="183">
        <v>1232.51</v>
      </c>
      <c r="M793" s="183">
        <v>1232.51</v>
      </c>
      <c r="N793" s="43">
        <f t="shared" si="325"/>
        <v>0</v>
      </c>
      <c r="O793" s="183">
        <v>1232.51</v>
      </c>
      <c r="P793" s="183">
        <v>1232.51</v>
      </c>
      <c r="Q793" s="183">
        <v>1232.51</v>
      </c>
      <c r="R793" s="472">
        <f t="shared" ref="R793:R856" si="332">H793-O793</f>
        <v>0</v>
      </c>
      <c r="S793" s="472">
        <f t="shared" ref="S793:S856" si="333">I793-P793</f>
        <v>0</v>
      </c>
      <c r="T793" s="472">
        <f t="shared" ref="T793:T856" si="334">J793-Q793</f>
        <v>0</v>
      </c>
      <c r="U793" s="182" t="s">
        <v>983</v>
      </c>
      <c r="V793" s="36" t="s">
        <v>95</v>
      </c>
      <c r="W793" s="37" t="s">
        <v>13</v>
      </c>
      <c r="X793" s="37" t="s">
        <v>2</v>
      </c>
      <c r="Y793" s="37" t="s">
        <v>705</v>
      </c>
      <c r="Z793" s="37" t="s">
        <v>142</v>
      </c>
      <c r="AA793" s="12" t="b">
        <f t="shared" si="315"/>
        <v>1</v>
      </c>
      <c r="AB793" s="12" t="b">
        <f t="shared" si="316"/>
        <v>1</v>
      </c>
      <c r="AC793" s="12" t="b">
        <f t="shared" si="317"/>
        <v>1</v>
      </c>
      <c r="AD793" s="12" t="b">
        <f t="shared" si="318"/>
        <v>1</v>
      </c>
      <c r="AE793" s="12" t="b">
        <f t="shared" si="319"/>
        <v>1</v>
      </c>
      <c r="AF793" s="12" t="b">
        <f t="shared" si="320"/>
        <v>1</v>
      </c>
    </row>
    <row r="794" spans="1:32" s="49" customFormat="1" ht="15.75" customHeight="1">
      <c r="A794" s="282"/>
      <c r="B794" s="47" t="s">
        <v>175</v>
      </c>
      <c r="C794" s="36" t="s">
        <v>95</v>
      </c>
      <c r="D794" s="37" t="s">
        <v>13</v>
      </c>
      <c r="E794" s="37" t="s">
        <v>2</v>
      </c>
      <c r="F794" s="37" t="s">
        <v>393</v>
      </c>
      <c r="G794" s="37" t="s">
        <v>90</v>
      </c>
      <c r="H794" s="183">
        <f>H795+H799</f>
        <v>1904.91</v>
      </c>
      <c r="I794" s="183">
        <f>I795+I799</f>
        <v>1906.14</v>
      </c>
      <c r="J794" s="183">
        <f>J795+J799</f>
        <v>1907.42</v>
      </c>
      <c r="K794" s="183">
        <v>1904.91</v>
      </c>
      <c r="L794" s="183">
        <v>1906.14</v>
      </c>
      <c r="M794" s="183">
        <v>1907.42</v>
      </c>
      <c r="N794" s="43">
        <f t="shared" si="325"/>
        <v>0</v>
      </c>
      <c r="O794" s="183">
        <v>1904.91</v>
      </c>
      <c r="P794" s="183">
        <v>1906.14</v>
      </c>
      <c r="Q794" s="183">
        <v>1907.42</v>
      </c>
      <c r="R794" s="472">
        <f t="shared" si="332"/>
        <v>0</v>
      </c>
      <c r="S794" s="472">
        <f t="shared" si="333"/>
        <v>0</v>
      </c>
      <c r="T794" s="472">
        <f t="shared" si="334"/>
        <v>0</v>
      </c>
      <c r="U794" s="47" t="s">
        <v>175</v>
      </c>
      <c r="V794" s="36" t="s">
        <v>95</v>
      </c>
      <c r="W794" s="37" t="s">
        <v>13</v>
      </c>
      <c r="X794" s="37" t="s">
        <v>2</v>
      </c>
      <c r="Y794" s="37" t="s">
        <v>393</v>
      </c>
      <c r="Z794" s="37" t="s">
        <v>90</v>
      </c>
      <c r="AA794" s="12" t="b">
        <f t="shared" si="315"/>
        <v>1</v>
      </c>
      <c r="AB794" s="12" t="b">
        <f t="shared" si="316"/>
        <v>1</v>
      </c>
      <c r="AC794" s="12" t="b">
        <f t="shared" si="317"/>
        <v>1</v>
      </c>
      <c r="AD794" s="12" t="b">
        <f t="shared" si="318"/>
        <v>1</v>
      </c>
      <c r="AE794" s="12" t="b">
        <f t="shared" si="319"/>
        <v>1</v>
      </c>
      <c r="AF794" s="12" t="b">
        <f t="shared" si="320"/>
        <v>1</v>
      </c>
    </row>
    <row r="795" spans="1:32" s="49" customFormat="1" ht="15.75" customHeight="1">
      <c r="A795" s="282"/>
      <c r="B795" s="178" t="s">
        <v>1107</v>
      </c>
      <c r="C795" s="36" t="s">
        <v>95</v>
      </c>
      <c r="D795" s="37" t="s">
        <v>13</v>
      </c>
      <c r="E795" s="37" t="s">
        <v>2</v>
      </c>
      <c r="F795" s="37" t="s">
        <v>394</v>
      </c>
      <c r="G795" s="37" t="s">
        <v>90</v>
      </c>
      <c r="H795" s="183">
        <f>H796</f>
        <v>92.910000000000011</v>
      </c>
      <c r="I795" s="183">
        <f>I796</f>
        <v>94.14</v>
      </c>
      <c r="J795" s="183">
        <f>J796</f>
        <v>95.42</v>
      </c>
      <c r="K795" s="183">
        <v>92.910000000000011</v>
      </c>
      <c r="L795" s="183">
        <v>94.14</v>
      </c>
      <c r="M795" s="183">
        <v>95.42</v>
      </c>
      <c r="N795" s="43">
        <f t="shared" si="325"/>
        <v>0</v>
      </c>
      <c r="O795" s="183">
        <v>92.910000000000011</v>
      </c>
      <c r="P795" s="183">
        <v>94.14</v>
      </c>
      <c r="Q795" s="183">
        <v>95.42</v>
      </c>
      <c r="R795" s="472">
        <f t="shared" si="332"/>
        <v>0</v>
      </c>
      <c r="S795" s="472">
        <f t="shared" si="333"/>
        <v>0</v>
      </c>
      <c r="T795" s="472">
        <f t="shared" si="334"/>
        <v>0</v>
      </c>
      <c r="U795" s="178" t="s">
        <v>1107</v>
      </c>
      <c r="V795" s="36" t="s">
        <v>95</v>
      </c>
      <c r="W795" s="37" t="s">
        <v>13</v>
      </c>
      <c r="X795" s="37" t="s">
        <v>2</v>
      </c>
      <c r="Y795" s="37" t="s">
        <v>394</v>
      </c>
      <c r="Z795" s="37" t="s">
        <v>90</v>
      </c>
      <c r="AA795" s="12" t="b">
        <f t="shared" si="315"/>
        <v>1</v>
      </c>
      <c r="AB795" s="12" t="b">
        <f t="shared" si="316"/>
        <v>1</v>
      </c>
      <c r="AC795" s="12" t="b">
        <f t="shared" si="317"/>
        <v>1</v>
      </c>
      <c r="AD795" s="12" t="b">
        <f t="shared" si="318"/>
        <v>1</v>
      </c>
      <c r="AE795" s="12" t="b">
        <f t="shared" si="319"/>
        <v>1</v>
      </c>
      <c r="AF795" s="12" t="b">
        <f t="shared" si="320"/>
        <v>1</v>
      </c>
    </row>
    <row r="796" spans="1:32" s="49" customFormat="1" ht="15.75" customHeight="1">
      <c r="A796" s="282"/>
      <c r="B796" s="47" t="s">
        <v>186</v>
      </c>
      <c r="C796" s="36" t="s">
        <v>95</v>
      </c>
      <c r="D796" s="37" t="s">
        <v>13</v>
      </c>
      <c r="E796" s="37" t="s">
        <v>2</v>
      </c>
      <c r="F796" s="37" t="s">
        <v>676</v>
      </c>
      <c r="G796" s="37" t="s">
        <v>90</v>
      </c>
      <c r="H796" s="183">
        <f>SUM(H797:H798)</f>
        <v>92.910000000000011</v>
      </c>
      <c r="I796" s="183">
        <f>SUM(I797:I798)</f>
        <v>94.14</v>
      </c>
      <c r="J796" s="183">
        <f>SUM(J797:J798)</f>
        <v>95.42</v>
      </c>
      <c r="K796" s="183">
        <v>92.910000000000011</v>
      </c>
      <c r="L796" s="183">
        <v>94.14</v>
      </c>
      <c r="M796" s="183">
        <v>95.42</v>
      </c>
      <c r="N796" s="43">
        <f t="shared" si="325"/>
        <v>0</v>
      </c>
      <c r="O796" s="183">
        <v>92.910000000000011</v>
      </c>
      <c r="P796" s="183">
        <v>94.14</v>
      </c>
      <c r="Q796" s="183">
        <v>95.42</v>
      </c>
      <c r="R796" s="472">
        <f t="shared" si="332"/>
        <v>0</v>
      </c>
      <c r="S796" s="472">
        <f t="shared" si="333"/>
        <v>0</v>
      </c>
      <c r="T796" s="472">
        <f t="shared" si="334"/>
        <v>0</v>
      </c>
      <c r="U796" s="47" t="s">
        <v>186</v>
      </c>
      <c r="V796" s="36" t="s">
        <v>95</v>
      </c>
      <c r="W796" s="37" t="s">
        <v>13</v>
      </c>
      <c r="X796" s="37" t="s">
        <v>2</v>
      </c>
      <c r="Y796" s="37" t="s">
        <v>676</v>
      </c>
      <c r="Z796" s="37" t="s">
        <v>90</v>
      </c>
      <c r="AA796" s="12" t="b">
        <f t="shared" si="315"/>
        <v>1</v>
      </c>
      <c r="AB796" s="12" t="b">
        <f t="shared" si="316"/>
        <v>1</v>
      </c>
      <c r="AC796" s="12" t="b">
        <f t="shared" si="317"/>
        <v>1</v>
      </c>
      <c r="AD796" s="12" t="b">
        <f t="shared" si="318"/>
        <v>1</v>
      </c>
      <c r="AE796" s="12" t="b">
        <f t="shared" si="319"/>
        <v>1</v>
      </c>
      <c r="AF796" s="12" t="b">
        <f t="shared" si="320"/>
        <v>1</v>
      </c>
    </row>
    <row r="797" spans="1:32" s="49" customFormat="1" ht="15.75" customHeight="1">
      <c r="A797" s="282"/>
      <c r="B797" s="182" t="s">
        <v>145</v>
      </c>
      <c r="C797" s="36" t="s">
        <v>95</v>
      </c>
      <c r="D797" s="37" t="s">
        <v>13</v>
      </c>
      <c r="E797" s="37" t="s">
        <v>2</v>
      </c>
      <c r="F797" s="37" t="s">
        <v>676</v>
      </c>
      <c r="G797" s="37" t="s">
        <v>153</v>
      </c>
      <c r="H797" s="183">
        <f>37.34+28.4</f>
        <v>65.740000000000009</v>
      </c>
      <c r="I797" s="183">
        <f>37.34+29.63</f>
        <v>66.97</v>
      </c>
      <c r="J797" s="183">
        <f>37.34+30.91</f>
        <v>68.25</v>
      </c>
      <c r="K797" s="183">
        <v>65.740000000000009</v>
      </c>
      <c r="L797" s="183">
        <v>66.97</v>
      </c>
      <c r="M797" s="183">
        <v>68.25</v>
      </c>
      <c r="N797" s="43">
        <f t="shared" si="325"/>
        <v>0</v>
      </c>
      <c r="O797" s="183">
        <v>65.740000000000009</v>
      </c>
      <c r="P797" s="183">
        <v>66.97</v>
      </c>
      <c r="Q797" s="183">
        <v>68.25</v>
      </c>
      <c r="R797" s="472">
        <f t="shared" si="332"/>
        <v>0</v>
      </c>
      <c r="S797" s="472">
        <f t="shared" si="333"/>
        <v>0</v>
      </c>
      <c r="T797" s="472">
        <f t="shared" si="334"/>
        <v>0</v>
      </c>
      <c r="U797" s="182" t="s">
        <v>145</v>
      </c>
      <c r="V797" s="36" t="s">
        <v>95</v>
      </c>
      <c r="W797" s="37" t="s">
        <v>13</v>
      </c>
      <c r="X797" s="37" t="s">
        <v>2</v>
      </c>
      <c r="Y797" s="37" t="s">
        <v>676</v>
      </c>
      <c r="Z797" s="37" t="s">
        <v>153</v>
      </c>
      <c r="AA797" s="12" t="b">
        <f t="shared" si="315"/>
        <v>1</v>
      </c>
      <c r="AB797" s="12" t="b">
        <f t="shared" si="316"/>
        <v>1</v>
      </c>
      <c r="AC797" s="12" t="b">
        <f t="shared" si="317"/>
        <v>1</v>
      </c>
      <c r="AD797" s="12" t="b">
        <f t="shared" si="318"/>
        <v>1</v>
      </c>
      <c r="AE797" s="12" t="b">
        <f t="shared" si="319"/>
        <v>1</v>
      </c>
      <c r="AF797" s="12" t="b">
        <f t="shared" si="320"/>
        <v>1</v>
      </c>
    </row>
    <row r="798" spans="1:32" s="49" customFormat="1" ht="15.75" customHeight="1">
      <c r="A798" s="282"/>
      <c r="B798" s="54" t="s">
        <v>137</v>
      </c>
      <c r="C798" s="56" t="s">
        <v>95</v>
      </c>
      <c r="D798" s="57" t="s">
        <v>13</v>
      </c>
      <c r="E798" s="57" t="s">
        <v>2</v>
      </c>
      <c r="F798" s="57" t="s">
        <v>676</v>
      </c>
      <c r="G798" s="57" t="s">
        <v>155</v>
      </c>
      <c r="H798" s="58">
        <f>21.73+5.44</f>
        <v>27.17</v>
      </c>
      <c r="I798" s="58">
        <v>27.17</v>
      </c>
      <c r="J798" s="58">
        <v>27.17</v>
      </c>
      <c r="K798" s="58">
        <v>27.17</v>
      </c>
      <c r="L798" s="58">
        <v>27.17</v>
      </c>
      <c r="M798" s="58">
        <v>27.17</v>
      </c>
      <c r="N798" s="43">
        <f t="shared" si="325"/>
        <v>0</v>
      </c>
      <c r="O798" s="58">
        <v>27.17</v>
      </c>
      <c r="P798" s="58">
        <v>27.17</v>
      </c>
      <c r="Q798" s="58">
        <v>27.17</v>
      </c>
      <c r="R798" s="472">
        <f t="shared" si="332"/>
        <v>0</v>
      </c>
      <c r="S798" s="472">
        <f t="shared" si="333"/>
        <v>0</v>
      </c>
      <c r="T798" s="472">
        <f t="shared" si="334"/>
        <v>0</v>
      </c>
      <c r="U798" s="54" t="s">
        <v>137</v>
      </c>
      <c r="V798" s="56" t="s">
        <v>95</v>
      </c>
      <c r="W798" s="57" t="s">
        <v>13</v>
      </c>
      <c r="X798" s="57" t="s">
        <v>2</v>
      </c>
      <c r="Y798" s="57" t="s">
        <v>676</v>
      </c>
      <c r="Z798" s="57" t="s">
        <v>155</v>
      </c>
      <c r="AA798" s="12" t="b">
        <f t="shared" si="315"/>
        <v>1</v>
      </c>
      <c r="AB798" s="12" t="b">
        <f t="shared" si="316"/>
        <v>1</v>
      </c>
      <c r="AC798" s="12" t="b">
        <f t="shared" si="317"/>
        <v>1</v>
      </c>
      <c r="AD798" s="12" t="b">
        <f t="shared" si="318"/>
        <v>1</v>
      </c>
      <c r="AE798" s="12" t="b">
        <f t="shared" si="319"/>
        <v>1</v>
      </c>
      <c r="AF798" s="12" t="b">
        <f t="shared" si="320"/>
        <v>1</v>
      </c>
    </row>
    <row r="799" spans="1:32" s="49" customFormat="1" ht="15.75" customHeight="1">
      <c r="A799" s="282"/>
      <c r="B799" s="182" t="s">
        <v>920</v>
      </c>
      <c r="C799" s="36" t="s">
        <v>95</v>
      </c>
      <c r="D799" s="37" t="s">
        <v>13</v>
      </c>
      <c r="E799" s="37" t="s">
        <v>2</v>
      </c>
      <c r="F799" s="37" t="s">
        <v>921</v>
      </c>
      <c r="G799" s="37" t="s">
        <v>90</v>
      </c>
      <c r="H799" s="183">
        <f t="shared" ref="H799:J800" si="335">H800</f>
        <v>1812</v>
      </c>
      <c r="I799" s="183">
        <f t="shared" si="335"/>
        <v>1812</v>
      </c>
      <c r="J799" s="183">
        <f t="shared" si="335"/>
        <v>1812</v>
      </c>
      <c r="K799" s="183">
        <v>1812</v>
      </c>
      <c r="L799" s="183">
        <v>1812</v>
      </c>
      <c r="M799" s="183">
        <v>1812</v>
      </c>
      <c r="N799" s="43">
        <f t="shared" si="325"/>
        <v>0</v>
      </c>
      <c r="O799" s="183">
        <v>1812</v>
      </c>
      <c r="P799" s="183">
        <v>1812</v>
      </c>
      <c r="Q799" s="183">
        <v>1812</v>
      </c>
      <c r="R799" s="472">
        <f t="shared" si="332"/>
        <v>0</v>
      </c>
      <c r="S799" s="472">
        <f t="shared" si="333"/>
        <v>0</v>
      </c>
      <c r="T799" s="472">
        <f t="shared" si="334"/>
        <v>0</v>
      </c>
      <c r="U799" s="182" t="s">
        <v>920</v>
      </c>
      <c r="V799" s="36" t="s">
        <v>95</v>
      </c>
      <c r="W799" s="37" t="s">
        <v>13</v>
      </c>
      <c r="X799" s="37" t="s">
        <v>2</v>
      </c>
      <c r="Y799" s="37" t="s">
        <v>921</v>
      </c>
      <c r="Z799" s="37" t="s">
        <v>90</v>
      </c>
      <c r="AA799" s="12" t="b">
        <f t="shared" si="315"/>
        <v>1</v>
      </c>
      <c r="AB799" s="12" t="b">
        <f t="shared" si="316"/>
        <v>1</v>
      </c>
      <c r="AC799" s="12" t="b">
        <f t="shared" si="317"/>
        <v>1</v>
      </c>
      <c r="AD799" s="12" t="b">
        <f t="shared" si="318"/>
        <v>1</v>
      </c>
      <c r="AE799" s="12" t="b">
        <f t="shared" si="319"/>
        <v>1</v>
      </c>
      <c r="AF799" s="12" t="b">
        <f t="shared" si="320"/>
        <v>1</v>
      </c>
    </row>
    <row r="800" spans="1:32" s="49" customFormat="1" ht="15.75" customHeight="1">
      <c r="A800" s="282"/>
      <c r="B800" s="182" t="s">
        <v>990</v>
      </c>
      <c r="C800" s="36" t="s">
        <v>95</v>
      </c>
      <c r="D800" s="37" t="s">
        <v>13</v>
      </c>
      <c r="E800" s="37" t="s">
        <v>2</v>
      </c>
      <c r="F800" s="37" t="s">
        <v>922</v>
      </c>
      <c r="G800" s="37" t="s">
        <v>90</v>
      </c>
      <c r="H800" s="183">
        <f t="shared" si="335"/>
        <v>1812</v>
      </c>
      <c r="I800" s="183">
        <f t="shared" si="335"/>
        <v>1812</v>
      </c>
      <c r="J800" s="183">
        <f t="shared" si="335"/>
        <v>1812</v>
      </c>
      <c r="K800" s="183">
        <v>1812</v>
      </c>
      <c r="L800" s="183">
        <v>1812</v>
      </c>
      <c r="M800" s="183">
        <v>1812</v>
      </c>
      <c r="N800" s="43">
        <f t="shared" si="325"/>
        <v>0</v>
      </c>
      <c r="O800" s="183">
        <v>1812</v>
      </c>
      <c r="P800" s="183">
        <v>1812</v>
      </c>
      <c r="Q800" s="183">
        <v>1812</v>
      </c>
      <c r="R800" s="472">
        <f t="shared" si="332"/>
        <v>0</v>
      </c>
      <c r="S800" s="472">
        <f t="shared" si="333"/>
        <v>0</v>
      </c>
      <c r="T800" s="472">
        <f t="shared" si="334"/>
        <v>0</v>
      </c>
      <c r="U800" s="182" t="s">
        <v>990</v>
      </c>
      <c r="V800" s="36" t="s">
        <v>95</v>
      </c>
      <c r="W800" s="37" t="s">
        <v>13</v>
      </c>
      <c r="X800" s="37" t="s">
        <v>2</v>
      </c>
      <c r="Y800" s="37" t="s">
        <v>922</v>
      </c>
      <c r="Z800" s="37" t="s">
        <v>90</v>
      </c>
      <c r="AA800" s="12" t="b">
        <f t="shared" si="315"/>
        <v>1</v>
      </c>
      <c r="AB800" s="12" t="b">
        <f t="shared" si="316"/>
        <v>1</v>
      </c>
      <c r="AC800" s="12" t="b">
        <f t="shared" si="317"/>
        <v>1</v>
      </c>
      <c r="AD800" s="12" t="b">
        <f t="shared" si="318"/>
        <v>1</v>
      </c>
      <c r="AE800" s="12" t="b">
        <f t="shared" si="319"/>
        <v>1</v>
      </c>
      <c r="AF800" s="12" t="b">
        <f t="shared" si="320"/>
        <v>1</v>
      </c>
    </row>
    <row r="801" spans="1:32" s="49" customFormat="1" ht="15.75" customHeight="1">
      <c r="A801" s="282"/>
      <c r="B801" s="85" t="s">
        <v>145</v>
      </c>
      <c r="C801" s="56" t="s">
        <v>95</v>
      </c>
      <c r="D801" s="57" t="s">
        <v>13</v>
      </c>
      <c r="E801" s="57" t="s">
        <v>2</v>
      </c>
      <c r="F801" s="57" t="s">
        <v>922</v>
      </c>
      <c r="G801" s="57" t="s">
        <v>153</v>
      </c>
      <c r="H801" s="58">
        <v>1812</v>
      </c>
      <c r="I801" s="58">
        <v>1812</v>
      </c>
      <c r="J801" s="58">
        <v>1812</v>
      </c>
      <c r="K801" s="58">
        <v>1812</v>
      </c>
      <c r="L801" s="58">
        <v>1812</v>
      </c>
      <c r="M801" s="58">
        <v>1812</v>
      </c>
      <c r="N801" s="43">
        <f t="shared" si="325"/>
        <v>0</v>
      </c>
      <c r="O801" s="58">
        <v>1812</v>
      </c>
      <c r="P801" s="58">
        <v>1812</v>
      </c>
      <c r="Q801" s="58">
        <v>1812</v>
      </c>
      <c r="R801" s="472">
        <f t="shared" si="332"/>
        <v>0</v>
      </c>
      <c r="S801" s="472">
        <f t="shared" si="333"/>
        <v>0</v>
      </c>
      <c r="T801" s="472">
        <f t="shared" si="334"/>
        <v>0</v>
      </c>
      <c r="U801" s="85" t="s">
        <v>145</v>
      </c>
      <c r="V801" s="56" t="s">
        <v>95</v>
      </c>
      <c r="W801" s="57" t="s">
        <v>13</v>
      </c>
      <c r="X801" s="57" t="s">
        <v>2</v>
      </c>
      <c r="Y801" s="57" t="s">
        <v>922</v>
      </c>
      <c r="Z801" s="57" t="s">
        <v>153</v>
      </c>
      <c r="AA801" s="12" t="b">
        <f t="shared" si="315"/>
        <v>1</v>
      </c>
      <c r="AB801" s="12" t="b">
        <f t="shared" si="316"/>
        <v>1</v>
      </c>
      <c r="AC801" s="12" t="b">
        <f t="shared" si="317"/>
        <v>1</v>
      </c>
      <c r="AD801" s="12" t="b">
        <f t="shared" si="318"/>
        <v>1</v>
      </c>
      <c r="AE801" s="12" t="b">
        <f t="shared" si="319"/>
        <v>1</v>
      </c>
      <c r="AF801" s="12" t="b">
        <f t="shared" si="320"/>
        <v>1</v>
      </c>
    </row>
    <row r="802" spans="1:32" s="49" customFormat="1" ht="15.75" customHeight="1">
      <c r="A802" s="282"/>
      <c r="B802" s="45" t="s">
        <v>212</v>
      </c>
      <c r="C802" s="36" t="s">
        <v>95</v>
      </c>
      <c r="D802" s="37" t="s">
        <v>13</v>
      </c>
      <c r="E802" s="37" t="s">
        <v>2</v>
      </c>
      <c r="F802" s="36" t="s">
        <v>500</v>
      </c>
      <c r="G802" s="37" t="s">
        <v>90</v>
      </c>
      <c r="H802" s="183">
        <f>H803</f>
        <v>97461.79</v>
      </c>
      <c r="I802" s="183">
        <f>I803</f>
        <v>93256.56</v>
      </c>
      <c r="J802" s="183">
        <f>J803</f>
        <v>93273.06</v>
      </c>
      <c r="K802" s="183">
        <v>97461.79</v>
      </c>
      <c r="L802" s="183">
        <v>93256.56</v>
      </c>
      <c r="M802" s="183">
        <v>93273.06</v>
      </c>
      <c r="N802" s="43">
        <f t="shared" si="325"/>
        <v>0</v>
      </c>
      <c r="O802" s="183">
        <v>97461.79</v>
      </c>
      <c r="P802" s="183">
        <v>93256.56</v>
      </c>
      <c r="Q802" s="183">
        <v>93273.06</v>
      </c>
      <c r="R802" s="472">
        <f t="shared" si="332"/>
        <v>0</v>
      </c>
      <c r="S802" s="472">
        <f t="shared" si="333"/>
        <v>0</v>
      </c>
      <c r="T802" s="472">
        <f t="shared" si="334"/>
        <v>0</v>
      </c>
      <c r="U802" s="45" t="s">
        <v>212</v>
      </c>
      <c r="V802" s="36" t="s">
        <v>95</v>
      </c>
      <c r="W802" s="37" t="s">
        <v>13</v>
      </c>
      <c r="X802" s="37" t="s">
        <v>2</v>
      </c>
      <c r="Y802" s="36" t="s">
        <v>500</v>
      </c>
      <c r="Z802" s="37" t="s">
        <v>90</v>
      </c>
      <c r="AA802" s="12" t="b">
        <f t="shared" si="315"/>
        <v>1</v>
      </c>
      <c r="AB802" s="12" t="b">
        <f t="shared" si="316"/>
        <v>1</v>
      </c>
      <c r="AC802" s="12" t="b">
        <f t="shared" si="317"/>
        <v>1</v>
      </c>
      <c r="AD802" s="12" t="b">
        <f t="shared" si="318"/>
        <v>1</v>
      </c>
      <c r="AE802" s="12" t="b">
        <f t="shared" si="319"/>
        <v>1</v>
      </c>
      <c r="AF802" s="12" t="b">
        <f t="shared" si="320"/>
        <v>1</v>
      </c>
    </row>
    <row r="803" spans="1:32" s="49" customFormat="1" ht="15.75" customHeight="1">
      <c r="A803" s="282"/>
      <c r="B803" s="45" t="s">
        <v>214</v>
      </c>
      <c r="C803" s="36" t="s">
        <v>95</v>
      </c>
      <c r="D803" s="37" t="s">
        <v>13</v>
      </c>
      <c r="E803" s="37" t="s">
        <v>2</v>
      </c>
      <c r="F803" s="36" t="s">
        <v>395</v>
      </c>
      <c r="G803" s="37" t="s">
        <v>90</v>
      </c>
      <c r="H803" s="183">
        <f>H804+H808+H810+H813</f>
        <v>97461.79</v>
      </c>
      <c r="I803" s="183">
        <f>I804+I808+I810+I813</f>
        <v>93256.56</v>
      </c>
      <c r="J803" s="183">
        <f>J804+J808+J810+J813</f>
        <v>93273.06</v>
      </c>
      <c r="K803" s="183">
        <v>97461.79</v>
      </c>
      <c r="L803" s="183">
        <v>93256.56</v>
      </c>
      <c r="M803" s="183">
        <v>93273.06</v>
      </c>
      <c r="N803" s="43">
        <f t="shared" si="325"/>
        <v>0</v>
      </c>
      <c r="O803" s="183">
        <v>97461.79</v>
      </c>
      <c r="P803" s="183">
        <v>93256.56</v>
      </c>
      <c r="Q803" s="183">
        <v>93273.06</v>
      </c>
      <c r="R803" s="472">
        <f t="shared" si="332"/>
        <v>0</v>
      </c>
      <c r="S803" s="472">
        <f t="shared" si="333"/>
        <v>0</v>
      </c>
      <c r="T803" s="472">
        <f t="shared" si="334"/>
        <v>0</v>
      </c>
      <c r="U803" s="45" t="s">
        <v>214</v>
      </c>
      <c r="V803" s="36" t="s">
        <v>95</v>
      </c>
      <c r="W803" s="37" t="s">
        <v>13</v>
      </c>
      <c r="X803" s="37" t="s">
        <v>2</v>
      </c>
      <c r="Y803" s="36" t="s">
        <v>395</v>
      </c>
      <c r="Z803" s="37" t="s">
        <v>90</v>
      </c>
      <c r="AA803" s="12" t="b">
        <f t="shared" si="315"/>
        <v>1</v>
      </c>
      <c r="AB803" s="12" t="b">
        <f t="shared" si="316"/>
        <v>1</v>
      </c>
      <c r="AC803" s="12" t="b">
        <f t="shared" si="317"/>
        <v>1</v>
      </c>
      <c r="AD803" s="12" t="b">
        <f t="shared" si="318"/>
        <v>1</v>
      </c>
      <c r="AE803" s="12" t="b">
        <f t="shared" si="319"/>
        <v>1</v>
      </c>
      <c r="AF803" s="12" t="b">
        <f t="shared" si="320"/>
        <v>1</v>
      </c>
    </row>
    <row r="804" spans="1:32" s="49" customFormat="1" ht="15.75" customHeight="1">
      <c r="A804" s="282"/>
      <c r="B804" s="52" t="s">
        <v>151</v>
      </c>
      <c r="C804" s="36" t="s">
        <v>95</v>
      </c>
      <c r="D804" s="37" t="s">
        <v>13</v>
      </c>
      <c r="E804" s="37" t="s">
        <v>2</v>
      </c>
      <c r="F804" s="53" t="s">
        <v>396</v>
      </c>
      <c r="G804" s="37" t="s">
        <v>90</v>
      </c>
      <c r="H804" s="183">
        <f>SUM(H805:H807)</f>
        <v>5398.2199999999993</v>
      </c>
      <c r="I804" s="183">
        <f>SUM(I805:I807)</f>
        <v>1193.3900000000001</v>
      </c>
      <c r="J804" s="183">
        <f>SUM(J805:J807)</f>
        <v>1209.77</v>
      </c>
      <c r="K804" s="183">
        <v>5398.2199999999993</v>
      </c>
      <c r="L804" s="183">
        <v>1193.3900000000001</v>
      </c>
      <c r="M804" s="183">
        <v>1209.77</v>
      </c>
      <c r="N804" s="43">
        <f t="shared" si="325"/>
        <v>0</v>
      </c>
      <c r="O804" s="183">
        <v>5398.2199999999993</v>
      </c>
      <c r="P804" s="183">
        <v>1193.3900000000001</v>
      </c>
      <c r="Q804" s="183">
        <v>1209.77</v>
      </c>
      <c r="R804" s="472">
        <f t="shared" si="332"/>
        <v>0</v>
      </c>
      <c r="S804" s="472">
        <f t="shared" si="333"/>
        <v>0</v>
      </c>
      <c r="T804" s="472">
        <f t="shared" si="334"/>
        <v>0</v>
      </c>
      <c r="U804" s="52" t="s">
        <v>151</v>
      </c>
      <c r="V804" s="36" t="s">
        <v>95</v>
      </c>
      <c r="W804" s="37" t="s">
        <v>13</v>
      </c>
      <c r="X804" s="37" t="s">
        <v>2</v>
      </c>
      <c r="Y804" s="53" t="s">
        <v>396</v>
      </c>
      <c r="Z804" s="37" t="s">
        <v>90</v>
      </c>
      <c r="AA804" s="12" t="b">
        <f t="shared" si="315"/>
        <v>1</v>
      </c>
      <c r="AB804" s="12" t="b">
        <f t="shared" si="316"/>
        <v>1</v>
      </c>
      <c r="AC804" s="12" t="b">
        <f t="shared" si="317"/>
        <v>1</v>
      </c>
      <c r="AD804" s="12" t="b">
        <f t="shared" si="318"/>
        <v>1</v>
      </c>
      <c r="AE804" s="12" t="b">
        <f t="shared" si="319"/>
        <v>1</v>
      </c>
      <c r="AF804" s="12" t="b">
        <f t="shared" si="320"/>
        <v>1</v>
      </c>
    </row>
    <row r="805" spans="1:32" s="49" customFormat="1" ht="15.75" customHeight="1">
      <c r="A805" s="282"/>
      <c r="B805" s="182" t="s">
        <v>144</v>
      </c>
      <c r="C805" s="36" t="s">
        <v>95</v>
      </c>
      <c r="D805" s="37" t="s">
        <v>13</v>
      </c>
      <c r="E805" s="37" t="s">
        <v>2</v>
      </c>
      <c r="F805" s="53" t="s">
        <v>396</v>
      </c>
      <c r="G805" s="37" t="s">
        <v>152</v>
      </c>
      <c r="H805" s="183">
        <v>144.04</v>
      </c>
      <c r="I805" s="183">
        <v>144.04</v>
      </c>
      <c r="J805" s="183">
        <v>144.04</v>
      </c>
      <c r="K805" s="183">
        <v>144.04</v>
      </c>
      <c r="L805" s="183">
        <v>144.04</v>
      </c>
      <c r="M805" s="183">
        <v>144.04</v>
      </c>
      <c r="N805" s="43">
        <f t="shared" si="325"/>
        <v>0</v>
      </c>
      <c r="O805" s="183">
        <v>144.04</v>
      </c>
      <c r="P805" s="183">
        <v>144.04</v>
      </c>
      <c r="Q805" s="183">
        <v>144.04</v>
      </c>
      <c r="R805" s="472">
        <f t="shared" si="332"/>
        <v>0</v>
      </c>
      <c r="S805" s="472">
        <f t="shared" si="333"/>
        <v>0</v>
      </c>
      <c r="T805" s="472">
        <f t="shared" si="334"/>
        <v>0</v>
      </c>
      <c r="U805" s="182" t="s">
        <v>144</v>
      </c>
      <c r="V805" s="36" t="s">
        <v>95</v>
      </c>
      <c r="W805" s="37" t="s">
        <v>13</v>
      </c>
      <c r="X805" s="37" t="s">
        <v>2</v>
      </c>
      <c r="Y805" s="53" t="s">
        <v>396</v>
      </c>
      <c r="Z805" s="37" t="s">
        <v>152</v>
      </c>
      <c r="AA805" s="12" t="b">
        <f t="shared" si="315"/>
        <v>1</v>
      </c>
      <c r="AB805" s="12" t="b">
        <f t="shared" si="316"/>
        <v>1</v>
      </c>
      <c r="AC805" s="12" t="b">
        <f t="shared" si="317"/>
        <v>1</v>
      </c>
      <c r="AD805" s="12" t="b">
        <f t="shared" si="318"/>
        <v>1</v>
      </c>
      <c r="AE805" s="12" t="b">
        <f t="shared" si="319"/>
        <v>1</v>
      </c>
      <c r="AF805" s="12" t="b">
        <f t="shared" si="320"/>
        <v>1</v>
      </c>
    </row>
    <row r="806" spans="1:32" s="49" customFormat="1" ht="15.75" customHeight="1">
      <c r="A806" s="282"/>
      <c r="B806" s="182" t="s">
        <v>145</v>
      </c>
      <c r="C806" s="36" t="s">
        <v>95</v>
      </c>
      <c r="D806" s="37" t="s">
        <v>13</v>
      </c>
      <c r="E806" s="37" t="s">
        <v>2</v>
      </c>
      <c r="F806" s="53" t="s">
        <v>396</v>
      </c>
      <c r="G806" s="37" t="s">
        <v>153</v>
      </c>
      <c r="H806" s="183">
        <v>5252.24</v>
      </c>
      <c r="I806" s="183">
        <f>720.07+327.34</f>
        <v>1047.4100000000001</v>
      </c>
      <c r="J806" s="183">
        <f>340.43+723.36</f>
        <v>1063.79</v>
      </c>
      <c r="K806" s="183">
        <v>5252.24</v>
      </c>
      <c r="L806" s="183">
        <v>1047.4100000000001</v>
      </c>
      <c r="M806" s="183">
        <v>1063.79</v>
      </c>
      <c r="N806" s="43">
        <f t="shared" si="325"/>
        <v>0</v>
      </c>
      <c r="O806" s="183">
        <v>5252.24</v>
      </c>
      <c r="P806" s="183">
        <v>1047.4100000000001</v>
      </c>
      <c r="Q806" s="183">
        <v>1063.79</v>
      </c>
      <c r="R806" s="472">
        <f t="shared" si="332"/>
        <v>0</v>
      </c>
      <c r="S806" s="472">
        <f t="shared" si="333"/>
        <v>0</v>
      </c>
      <c r="T806" s="472">
        <f t="shared" si="334"/>
        <v>0</v>
      </c>
      <c r="U806" s="182" t="s">
        <v>145</v>
      </c>
      <c r="V806" s="36" t="s">
        <v>95</v>
      </c>
      <c r="W806" s="37" t="s">
        <v>13</v>
      </c>
      <c r="X806" s="37" t="s">
        <v>2</v>
      </c>
      <c r="Y806" s="53" t="s">
        <v>396</v>
      </c>
      <c r="Z806" s="37" t="s">
        <v>153</v>
      </c>
      <c r="AA806" s="12" t="b">
        <f t="shared" si="315"/>
        <v>1</v>
      </c>
      <c r="AB806" s="12" t="b">
        <f t="shared" si="316"/>
        <v>1</v>
      </c>
      <c r="AC806" s="12" t="b">
        <f t="shared" si="317"/>
        <v>1</v>
      </c>
      <c r="AD806" s="12" t="b">
        <f t="shared" si="318"/>
        <v>1</v>
      </c>
      <c r="AE806" s="12" t="b">
        <f t="shared" si="319"/>
        <v>1</v>
      </c>
      <c r="AF806" s="12" t="b">
        <f t="shared" si="320"/>
        <v>1</v>
      </c>
    </row>
    <row r="807" spans="1:32" s="49" customFormat="1" ht="15.75" customHeight="1">
      <c r="A807" s="282"/>
      <c r="B807" s="182" t="s">
        <v>137</v>
      </c>
      <c r="C807" s="36" t="s">
        <v>95</v>
      </c>
      <c r="D807" s="37" t="s">
        <v>13</v>
      </c>
      <c r="E807" s="37" t="s">
        <v>2</v>
      </c>
      <c r="F807" s="53" t="s">
        <v>396</v>
      </c>
      <c r="G807" s="37" t="s">
        <v>155</v>
      </c>
      <c r="H807" s="183">
        <v>1.94</v>
      </c>
      <c r="I807" s="183">
        <v>1.94</v>
      </c>
      <c r="J807" s="183">
        <v>1.94</v>
      </c>
      <c r="K807" s="183">
        <v>1.94</v>
      </c>
      <c r="L807" s="183">
        <v>1.94</v>
      </c>
      <c r="M807" s="183">
        <v>1.94</v>
      </c>
      <c r="N807" s="43">
        <f t="shared" si="325"/>
        <v>0</v>
      </c>
      <c r="O807" s="183">
        <v>1.94</v>
      </c>
      <c r="P807" s="183">
        <v>1.94</v>
      </c>
      <c r="Q807" s="183">
        <v>1.94</v>
      </c>
      <c r="R807" s="472">
        <f t="shared" si="332"/>
        <v>0</v>
      </c>
      <c r="S807" s="472">
        <f t="shared" si="333"/>
        <v>0</v>
      </c>
      <c r="T807" s="472">
        <f t="shared" si="334"/>
        <v>0</v>
      </c>
      <c r="U807" s="182" t="s">
        <v>137</v>
      </c>
      <c r="V807" s="36" t="s">
        <v>95</v>
      </c>
      <c r="W807" s="37" t="s">
        <v>13</v>
      </c>
      <c r="X807" s="37" t="s">
        <v>2</v>
      </c>
      <c r="Y807" s="53" t="s">
        <v>396</v>
      </c>
      <c r="Z807" s="37" t="s">
        <v>155</v>
      </c>
      <c r="AA807" s="12" t="b">
        <f t="shared" si="315"/>
        <v>1</v>
      </c>
      <c r="AB807" s="12" t="b">
        <f t="shared" si="316"/>
        <v>1</v>
      </c>
      <c r="AC807" s="12" t="b">
        <f t="shared" si="317"/>
        <v>1</v>
      </c>
      <c r="AD807" s="12" t="b">
        <f t="shared" si="318"/>
        <v>1</v>
      </c>
      <c r="AE807" s="12" t="b">
        <f t="shared" si="319"/>
        <v>1</v>
      </c>
      <c r="AF807" s="12" t="b">
        <f t="shared" si="320"/>
        <v>1</v>
      </c>
    </row>
    <row r="808" spans="1:32" s="49" customFormat="1" ht="15.75" customHeight="1">
      <c r="A808" s="282"/>
      <c r="B808" s="52" t="s">
        <v>161</v>
      </c>
      <c r="C808" s="36" t="s">
        <v>95</v>
      </c>
      <c r="D808" s="37" t="s">
        <v>13</v>
      </c>
      <c r="E808" s="37" t="s">
        <v>2</v>
      </c>
      <c r="F808" s="53" t="s">
        <v>397</v>
      </c>
      <c r="G808" s="37" t="s">
        <v>90</v>
      </c>
      <c r="H808" s="183">
        <f>H809</f>
        <v>8736.56</v>
      </c>
      <c r="I808" s="183">
        <f>I809</f>
        <v>8736.56</v>
      </c>
      <c r="J808" s="183">
        <f>J809</f>
        <v>8736.56</v>
      </c>
      <c r="K808" s="183">
        <v>8736.56</v>
      </c>
      <c r="L808" s="183">
        <v>8736.56</v>
      </c>
      <c r="M808" s="183">
        <v>8736.56</v>
      </c>
      <c r="N808" s="43">
        <f t="shared" si="325"/>
        <v>0</v>
      </c>
      <c r="O808" s="183">
        <v>8736.56</v>
      </c>
      <c r="P808" s="183">
        <v>8736.56</v>
      </c>
      <c r="Q808" s="183">
        <v>8736.56</v>
      </c>
      <c r="R808" s="472">
        <f t="shared" si="332"/>
        <v>0</v>
      </c>
      <c r="S808" s="472">
        <f t="shared" si="333"/>
        <v>0</v>
      </c>
      <c r="T808" s="472">
        <f t="shared" si="334"/>
        <v>0</v>
      </c>
      <c r="U808" s="52" t="s">
        <v>161</v>
      </c>
      <c r="V808" s="36" t="s">
        <v>95</v>
      </c>
      <c r="W808" s="37" t="s">
        <v>13</v>
      </c>
      <c r="X808" s="37" t="s">
        <v>2</v>
      </c>
      <c r="Y808" s="53" t="s">
        <v>397</v>
      </c>
      <c r="Z808" s="37" t="s">
        <v>90</v>
      </c>
      <c r="AA808" s="12" t="b">
        <f t="shared" si="315"/>
        <v>1</v>
      </c>
      <c r="AB808" s="12" t="b">
        <f t="shared" si="316"/>
        <v>1</v>
      </c>
      <c r="AC808" s="12" t="b">
        <f t="shared" si="317"/>
        <v>1</v>
      </c>
      <c r="AD808" s="12" t="b">
        <f t="shared" si="318"/>
        <v>1</v>
      </c>
      <c r="AE808" s="12" t="b">
        <f t="shared" si="319"/>
        <v>1</v>
      </c>
      <c r="AF808" s="12" t="b">
        <f t="shared" si="320"/>
        <v>1</v>
      </c>
    </row>
    <row r="809" spans="1:32" s="49" customFormat="1" ht="15.75" customHeight="1">
      <c r="A809" s="282"/>
      <c r="B809" s="54" t="s">
        <v>144</v>
      </c>
      <c r="C809" s="56" t="s">
        <v>95</v>
      </c>
      <c r="D809" s="57" t="s">
        <v>13</v>
      </c>
      <c r="E809" s="57" t="s">
        <v>2</v>
      </c>
      <c r="F809" s="464" t="s">
        <v>397</v>
      </c>
      <c r="G809" s="57" t="s">
        <v>152</v>
      </c>
      <c r="H809" s="58">
        <v>8736.56</v>
      </c>
      <c r="I809" s="58">
        <v>8736.56</v>
      </c>
      <c r="J809" s="58">
        <v>8736.56</v>
      </c>
      <c r="K809" s="58">
        <v>8736.56</v>
      </c>
      <c r="L809" s="58">
        <v>8736.56</v>
      </c>
      <c r="M809" s="58">
        <v>8736.56</v>
      </c>
      <c r="N809" s="43">
        <f t="shared" si="325"/>
        <v>0</v>
      </c>
      <c r="O809" s="58">
        <v>8736.56</v>
      </c>
      <c r="P809" s="58">
        <v>8736.56</v>
      </c>
      <c r="Q809" s="58">
        <v>8736.56</v>
      </c>
      <c r="R809" s="472">
        <f t="shared" si="332"/>
        <v>0</v>
      </c>
      <c r="S809" s="472">
        <f t="shared" si="333"/>
        <v>0</v>
      </c>
      <c r="T809" s="472">
        <f t="shared" si="334"/>
        <v>0</v>
      </c>
      <c r="U809" s="54" t="s">
        <v>144</v>
      </c>
      <c r="V809" s="56" t="s">
        <v>95</v>
      </c>
      <c r="W809" s="57" t="s">
        <v>13</v>
      </c>
      <c r="X809" s="57" t="s">
        <v>2</v>
      </c>
      <c r="Y809" s="464" t="s">
        <v>397</v>
      </c>
      <c r="Z809" s="57" t="s">
        <v>152</v>
      </c>
      <c r="AA809" s="12" t="b">
        <f t="shared" si="315"/>
        <v>1</v>
      </c>
      <c r="AB809" s="12" t="b">
        <f t="shared" si="316"/>
        <v>1</v>
      </c>
      <c r="AC809" s="12" t="b">
        <f t="shared" si="317"/>
        <v>1</v>
      </c>
      <c r="AD809" s="12" t="b">
        <f t="shared" si="318"/>
        <v>1</v>
      </c>
      <c r="AE809" s="12" t="b">
        <f t="shared" si="319"/>
        <v>1</v>
      </c>
      <c r="AF809" s="12" t="b">
        <f t="shared" si="320"/>
        <v>1</v>
      </c>
    </row>
    <row r="810" spans="1:32" s="49" customFormat="1" ht="15.75" customHeight="1">
      <c r="A810" s="282" t="s">
        <v>799</v>
      </c>
      <c r="B810" s="52" t="s">
        <v>856</v>
      </c>
      <c r="C810" s="36" t="s">
        <v>95</v>
      </c>
      <c r="D810" s="37" t="s">
        <v>13</v>
      </c>
      <c r="E810" s="37" t="s">
        <v>2</v>
      </c>
      <c r="F810" s="53" t="s">
        <v>398</v>
      </c>
      <c r="G810" s="37" t="s">
        <v>90</v>
      </c>
      <c r="H810" s="183">
        <f>H811+H812</f>
        <v>2015.06</v>
      </c>
      <c r="I810" s="183">
        <f>I811+I812</f>
        <v>2015.06</v>
      </c>
      <c r="J810" s="183">
        <f>J811+J812</f>
        <v>2015.06</v>
      </c>
      <c r="K810" s="183">
        <v>2015.06</v>
      </c>
      <c r="L810" s="183">
        <v>2015.06</v>
      </c>
      <c r="M810" s="183">
        <v>2015.06</v>
      </c>
      <c r="N810" s="43">
        <f t="shared" si="325"/>
        <v>0</v>
      </c>
      <c r="O810" s="183">
        <v>2015.06</v>
      </c>
      <c r="P810" s="183">
        <v>2015.06</v>
      </c>
      <c r="Q810" s="183">
        <v>2015.06</v>
      </c>
      <c r="R810" s="472">
        <f t="shared" si="332"/>
        <v>0</v>
      </c>
      <c r="S810" s="472">
        <f t="shared" si="333"/>
        <v>0</v>
      </c>
      <c r="T810" s="472">
        <f t="shared" si="334"/>
        <v>0</v>
      </c>
      <c r="U810" s="52" t="s">
        <v>856</v>
      </c>
      <c r="V810" s="36" t="s">
        <v>95</v>
      </c>
      <c r="W810" s="37" t="s">
        <v>13</v>
      </c>
      <c r="X810" s="37" t="s">
        <v>2</v>
      </c>
      <c r="Y810" s="53" t="s">
        <v>398</v>
      </c>
      <c r="Z810" s="37" t="s">
        <v>90</v>
      </c>
      <c r="AA810" s="12" t="b">
        <f t="shared" si="315"/>
        <v>1</v>
      </c>
      <c r="AB810" s="12" t="b">
        <f t="shared" si="316"/>
        <v>1</v>
      </c>
      <c r="AC810" s="12" t="b">
        <f t="shared" si="317"/>
        <v>1</v>
      </c>
      <c r="AD810" s="12" t="b">
        <f t="shared" si="318"/>
        <v>1</v>
      </c>
      <c r="AE810" s="12" t="b">
        <f t="shared" si="319"/>
        <v>1</v>
      </c>
      <c r="AF810" s="12" t="b">
        <f t="shared" si="320"/>
        <v>1</v>
      </c>
    </row>
    <row r="811" spans="1:32" s="49" customFormat="1" ht="15.75" customHeight="1">
      <c r="A811" s="282" t="s">
        <v>799</v>
      </c>
      <c r="B811" s="54" t="s">
        <v>144</v>
      </c>
      <c r="C811" s="56" t="s">
        <v>95</v>
      </c>
      <c r="D811" s="57" t="s">
        <v>13</v>
      </c>
      <c r="E811" s="57" t="s">
        <v>2</v>
      </c>
      <c r="F811" s="464" t="s">
        <v>398</v>
      </c>
      <c r="G811" s="57" t="s">
        <v>152</v>
      </c>
      <c r="H811" s="58">
        <v>1722.28</v>
      </c>
      <c r="I811" s="58">
        <v>1722.28</v>
      </c>
      <c r="J811" s="58">
        <v>1722.28</v>
      </c>
      <c r="K811" s="58">
        <v>1722.28</v>
      </c>
      <c r="L811" s="58">
        <v>1722.28</v>
      </c>
      <c r="M811" s="58">
        <v>1722.28</v>
      </c>
      <c r="N811" s="43">
        <f t="shared" si="325"/>
        <v>0</v>
      </c>
      <c r="O811" s="58">
        <v>1722.28</v>
      </c>
      <c r="P811" s="58">
        <v>1722.28</v>
      </c>
      <c r="Q811" s="58">
        <v>1722.28</v>
      </c>
      <c r="R811" s="472">
        <f t="shared" si="332"/>
        <v>0</v>
      </c>
      <c r="S811" s="472">
        <f t="shared" si="333"/>
        <v>0</v>
      </c>
      <c r="T811" s="472">
        <f t="shared" si="334"/>
        <v>0</v>
      </c>
      <c r="U811" s="54" t="s">
        <v>144</v>
      </c>
      <c r="V811" s="56" t="s">
        <v>95</v>
      </c>
      <c r="W811" s="57" t="s">
        <v>13</v>
      </c>
      <c r="X811" s="57" t="s">
        <v>2</v>
      </c>
      <c r="Y811" s="464" t="s">
        <v>398</v>
      </c>
      <c r="Z811" s="57" t="s">
        <v>152</v>
      </c>
      <c r="AA811" s="12" t="b">
        <f t="shared" si="315"/>
        <v>1</v>
      </c>
      <c r="AB811" s="12" t="b">
        <f t="shared" si="316"/>
        <v>1</v>
      </c>
      <c r="AC811" s="12" t="b">
        <f t="shared" si="317"/>
        <v>1</v>
      </c>
      <c r="AD811" s="12" t="b">
        <f t="shared" si="318"/>
        <v>1</v>
      </c>
      <c r="AE811" s="12" t="b">
        <f t="shared" si="319"/>
        <v>1</v>
      </c>
      <c r="AF811" s="12" t="b">
        <f t="shared" si="320"/>
        <v>1</v>
      </c>
    </row>
    <row r="812" spans="1:32" s="49" customFormat="1" ht="15.75" customHeight="1">
      <c r="A812" s="282"/>
      <c r="B812" s="182" t="s">
        <v>145</v>
      </c>
      <c r="C812" s="36" t="s">
        <v>95</v>
      </c>
      <c r="D812" s="37" t="s">
        <v>13</v>
      </c>
      <c r="E812" s="37" t="s">
        <v>2</v>
      </c>
      <c r="F812" s="53" t="s">
        <v>398</v>
      </c>
      <c r="G812" s="37" t="s">
        <v>153</v>
      </c>
      <c r="H812" s="183">
        <v>292.77999999999997</v>
      </c>
      <c r="I812" s="183">
        <v>292.77999999999997</v>
      </c>
      <c r="J812" s="183">
        <v>292.77999999999997</v>
      </c>
      <c r="K812" s="183">
        <v>292.77999999999997</v>
      </c>
      <c r="L812" s="183">
        <v>292.77999999999997</v>
      </c>
      <c r="M812" s="183">
        <v>292.77999999999997</v>
      </c>
      <c r="N812" s="43">
        <f t="shared" si="325"/>
        <v>0</v>
      </c>
      <c r="O812" s="183">
        <v>292.77999999999997</v>
      </c>
      <c r="P812" s="183">
        <v>292.77999999999997</v>
      </c>
      <c r="Q812" s="183">
        <v>292.77999999999997</v>
      </c>
      <c r="R812" s="472">
        <f t="shared" si="332"/>
        <v>0</v>
      </c>
      <c r="S812" s="472">
        <f t="shared" si="333"/>
        <v>0</v>
      </c>
      <c r="T812" s="472">
        <f t="shared" si="334"/>
        <v>0</v>
      </c>
      <c r="U812" s="182" t="s">
        <v>145</v>
      </c>
      <c r="V812" s="36" t="s">
        <v>95</v>
      </c>
      <c r="W812" s="37" t="s">
        <v>13</v>
      </c>
      <c r="X812" s="37" t="s">
        <v>2</v>
      </c>
      <c r="Y812" s="53" t="s">
        <v>398</v>
      </c>
      <c r="Z812" s="37" t="s">
        <v>153</v>
      </c>
      <c r="AA812" s="12" t="b">
        <f t="shared" si="315"/>
        <v>1</v>
      </c>
      <c r="AB812" s="12" t="b">
        <f t="shared" si="316"/>
        <v>1</v>
      </c>
      <c r="AC812" s="12" t="b">
        <f t="shared" si="317"/>
        <v>1</v>
      </c>
      <c r="AD812" s="12" t="b">
        <f t="shared" si="318"/>
        <v>1</v>
      </c>
      <c r="AE812" s="12" t="b">
        <f t="shared" si="319"/>
        <v>1</v>
      </c>
      <c r="AF812" s="12" t="b">
        <f t="shared" si="320"/>
        <v>1</v>
      </c>
    </row>
    <row r="813" spans="1:32" s="49" customFormat="1" ht="15.75" customHeight="1">
      <c r="A813" s="282" t="s">
        <v>799</v>
      </c>
      <c r="B813" s="22" t="s">
        <v>857</v>
      </c>
      <c r="C813" s="36" t="s">
        <v>95</v>
      </c>
      <c r="D813" s="37" t="s">
        <v>13</v>
      </c>
      <c r="E813" s="37" t="s">
        <v>2</v>
      </c>
      <c r="F813" s="53" t="s">
        <v>399</v>
      </c>
      <c r="G813" s="37" t="s">
        <v>90</v>
      </c>
      <c r="H813" s="183">
        <f>H814+H815+H816</f>
        <v>81311.95</v>
      </c>
      <c r="I813" s="183">
        <f>I814+I815+I816</f>
        <v>81311.55</v>
      </c>
      <c r="J813" s="183">
        <f>J814+J815+J816</f>
        <v>81311.67</v>
      </c>
      <c r="K813" s="183">
        <v>81311.95</v>
      </c>
      <c r="L813" s="183">
        <v>81311.55</v>
      </c>
      <c r="M813" s="183">
        <v>81311.67</v>
      </c>
      <c r="N813" s="43">
        <f t="shared" si="325"/>
        <v>0</v>
      </c>
      <c r="O813" s="183">
        <v>81311.95</v>
      </c>
      <c r="P813" s="183">
        <v>81311.55</v>
      </c>
      <c r="Q813" s="183">
        <v>81311.67</v>
      </c>
      <c r="R813" s="472">
        <f t="shared" si="332"/>
        <v>0</v>
      </c>
      <c r="S813" s="472">
        <f t="shared" si="333"/>
        <v>0</v>
      </c>
      <c r="T813" s="472">
        <f t="shared" si="334"/>
        <v>0</v>
      </c>
      <c r="U813" s="22" t="s">
        <v>857</v>
      </c>
      <c r="V813" s="36" t="s">
        <v>95</v>
      </c>
      <c r="W813" s="37" t="s">
        <v>13</v>
      </c>
      <c r="X813" s="37" t="s">
        <v>2</v>
      </c>
      <c r="Y813" s="53" t="s">
        <v>399</v>
      </c>
      <c r="Z813" s="37" t="s">
        <v>90</v>
      </c>
      <c r="AA813" s="12" t="b">
        <f t="shared" si="315"/>
        <v>1</v>
      </c>
      <c r="AB813" s="12" t="b">
        <f t="shared" si="316"/>
        <v>1</v>
      </c>
      <c r="AC813" s="12" t="b">
        <f t="shared" si="317"/>
        <v>1</v>
      </c>
      <c r="AD813" s="12" t="b">
        <f t="shared" si="318"/>
        <v>1</v>
      </c>
      <c r="AE813" s="12" t="b">
        <f t="shared" si="319"/>
        <v>1</v>
      </c>
      <c r="AF813" s="12" t="b">
        <f t="shared" si="320"/>
        <v>1</v>
      </c>
    </row>
    <row r="814" spans="1:32" s="49" customFormat="1" ht="15.75" customHeight="1">
      <c r="A814" s="282" t="s">
        <v>799</v>
      </c>
      <c r="B814" s="54" t="s">
        <v>144</v>
      </c>
      <c r="C814" s="56" t="s">
        <v>95</v>
      </c>
      <c r="D814" s="57" t="s">
        <v>13</v>
      </c>
      <c r="E814" s="57" t="s">
        <v>2</v>
      </c>
      <c r="F814" s="464" t="s">
        <v>399</v>
      </c>
      <c r="G814" s="57" t="s">
        <v>152</v>
      </c>
      <c r="H814" s="58">
        <v>78233.740000000005</v>
      </c>
      <c r="I814" s="183">
        <v>78233.740000000005</v>
      </c>
      <c r="J814" s="183">
        <v>78233.740000000005</v>
      </c>
      <c r="K814" s="183">
        <v>78233.740000000005</v>
      </c>
      <c r="L814" s="183">
        <v>78233.740000000005</v>
      </c>
      <c r="M814" s="183">
        <v>78233.740000000005</v>
      </c>
      <c r="N814" s="43">
        <f t="shared" si="325"/>
        <v>0</v>
      </c>
      <c r="O814" s="58">
        <v>78233.740000000005</v>
      </c>
      <c r="P814" s="58">
        <v>78233.740000000005</v>
      </c>
      <c r="Q814" s="58">
        <v>78233.740000000005</v>
      </c>
      <c r="R814" s="472">
        <f t="shared" si="332"/>
        <v>0</v>
      </c>
      <c r="S814" s="472">
        <f t="shared" si="333"/>
        <v>0</v>
      </c>
      <c r="T814" s="472">
        <f t="shared" si="334"/>
        <v>0</v>
      </c>
      <c r="U814" s="54" t="s">
        <v>144</v>
      </c>
      <c r="V814" s="56" t="s">
        <v>95</v>
      </c>
      <c r="W814" s="57" t="s">
        <v>13</v>
      </c>
      <c r="X814" s="57" t="s">
        <v>2</v>
      </c>
      <c r="Y814" s="464" t="s">
        <v>399</v>
      </c>
      <c r="Z814" s="57" t="s">
        <v>152</v>
      </c>
      <c r="AA814" s="12" t="b">
        <f t="shared" si="315"/>
        <v>1</v>
      </c>
      <c r="AB814" s="12" t="b">
        <f t="shared" si="316"/>
        <v>1</v>
      </c>
      <c r="AC814" s="12" t="b">
        <f t="shared" si="317"/>
        <v>1</v>
      </c>
      <c r="AD814" s="12" t="b">
        <f t="shared" si="318"/>
        <v>1</v>
      </c>
      <c r="AE814" s="12" t="b">
        <f t="shared" si="319"/>
        <v>1</v>
      </c>
      <c r="AF814" s="12" t="b">
        <f t="shared" si="320"/>
        <v>1</v>
      </c>
    </row>
    <row r="815" spans="1:32" s="49" customFormat="1" ht="15.75" customHeight="1">
      <c r="A815" s="282"/>
      <c r="B815" s="182" t="s">
        <v>145</v>
      </c>
      <c r="C815" s="36" t="s">
        <v>95</v>
      </c>
      <c r="D815" s="37" t="s">
        <v>13</v>
      </c>
      <c r="E815" s="37" t="s">
        <v>2</v>
      </c>
      <c r="F815" s="53" t="s">
        <v>399</v>
      </c>
      <c r="G815" s="37" t="s">
        <v>153</v>
      </c>
      <c r="H815" s="183">
        <v>2978.29</v>
      </c>
      <c r="I815" s="183">
        <v>2977.89</v>
      </c>
      <c r="J815" s="183">
        <v>2978.01</v>
      </c>
      <c r="K815" s="183">
        <v>2978.29</v>
      </c>
      <c r="L815" s="183">
        <v>2977.89</v>
      </c>
      <c r="M815" s="183">
        <v>2978.01</v>
      </c>
      <c r="N815" s="43">
        <f t="shared" si="325"/>
        <v>0</v>
      </c>
      <c r="O815" s="183">
        <v>2978.29</v>
      </c>
      <c r="P815" s="183">
        <v>2977.89</v>
      </c>
      <c r="Q815" s="183">
        <v>2978.01</v>
      </c>
      <c r="R815" s="472">
        <f t="shared" si="332"/>
        <v>0</v>
      </c>
      <c r="S815" s="472">
        <f t="shared" si="333"/>
        <v>0</v>
      </c>
      <c r="T815" s="472">
        <f t="shared" si="334"/>
        <v>0</v>
      </c>
      <c r="U815" s="182" t="s">
        <v>145</v>
      </c>
      <c r="V815" s="36" t="s">
        <v>95</v>
      </c>
      <c r="W815" s="37" t="s">
        <v>13</v>
      </c>
      <c r="X815" s="37" t="s">
        <v>2</v>
      </c>
      <c r="Y815" s="53" t="s">
        <v>399</v>
      </c>
      <c r="Z815" s="37" t="s">
        <v>153</v>
      </c>
      <c r="AA815" s="12" t="b">
        <f t="shared" si="315"/>
        <v>1</v>
      </c>
      <c r="AB815" s="12" t="b">
        <f t="shared" si="316"/>
        <v>1</v>
      </c>
      <c r="AC815" s="12" t="b">
        <f t="shared" si="317"/>
        <v>1</v>
      </c>
      <c r="AD815" s="12" t="b">
        <f t="shared" si="318"/>
        <v>1</v>
      </c>
      <c r="AE815" s="12" t="b">
        <f t="shared" si="319"/>
        <v>1</v>
      </c>
      <c r="AF815" s="12" t="b">
        <f t="shared" si="320"/>
        <v>1</v>
      </c>
    </row>
    <row r="816" spans="1:32" s="49" customFormat="1" ht="15.75" customHeight="1">
      <c r="A816" s="282"/>
      <c r="B816" s="182" t="s">
        <v>137</v>
      </c>
      <c r="C816" s="36" t="s">
        <v>95</v>
      </c>
      <c r="D816" s="37" t="s">
        <v>13</v>
      </c>
      <c r="E816" s="37" t="s">
        <v>2</v>
      </c>
      <c r="F816" s="53" t="s">
        <v>399</v>
      </c>
      <c r="G816" s="37" t="s">
        <v>155</v>
      </c>
      <c r="H816" s="183">
        <v>99.92</v>
      </c>
      <c r="I816" s="183">
        <v>99.92</v>
      </c>
      <c r="J816" s="183">
        <v>99.92</v>
      </c>
      <c r="K816" s="183">
        <v>99.92</v>
      </c>
      <c r="L816" s="183">
        <v>99.92</v>
      </c>
      <c r="M816" s="183">
        <v>99.92</v>
      </c>
      <c r="N816" s="43">
        <f t="shared" si="325"/>
        <v>0</v>
      </c>
      <c r="O816" s="183">
        <v>99.92</v>
      </c>
      <c r="P816" s="183">
        <v>99.92</v>
      </c>
      <c r="Q816" s="183">
        <v>99.92</v>
      </c>
      <c r="R816" s="472">
        <f t="shared" si="332"/>
        <v>0</v>
      </c>
      <c r="S816" s="472">
        <f t="shared" si="333"/>
        <v>0</v>
      </c>
      <c r="T816" s="472">
        <f t="shared" si="334"/>
        <v>0</v>
      </c>
      <c r="U816" s="182" t="s">
        <v>137</v>
      </c>
      <c r="V816" s="36" t="s">
        <v>95</v>
      </c>
      <c r="W816" s="37" t="s">
        <v>13</v>
      </c>
      <c r="X816" s="37" t="s">
        <v>2</v>
      </c>
      <c r="Y816" s="53" t="s">
        <v>399</v>
      </c>
      <c r="Z816" s="37" t="s">
        <v>155</v>
      </c>
      <c r="AA816" s="12" t="b">
        <f t="shared" ref="AA816:AA883" si="336">B816=U816</f>
        <v>1</v>
      </c>
      <c r="AB816" s="12" t="b">
        <f t="shared" ref="AB816:AB883" si="337">C816=V816</f>
        <v>1</v>
      </c>
      <c r="AC816" s="12" t="b">
        <f t="shared" ref="AC816:AC883" si="338">D816=W816</f>
        <v>1</v>
      </c>
      <c r="AD816" s="12" t="b">
        <f t="shared" ref="AD816:AD883" si="339">E816=X816</f>
        <v>1</v>
      </c>
      <c r="AE816" s="12" t="b">
        <f t="shared" ref="AE816:AE883" si="340">F816=Y816</f>
        <v>1</v>
      </c>
      <c r="AF816" s="12" t="b">
        <f t="shared" ref="AF816:AF883" si="341">G816=Z816</f>
        <v>1</v>
      </c>
    </row>
    <row r="817" spans="1:32" s="49" customFormat="1" ht="15.75" customHeight="1">
      <c r="A817" s="282"/>
      <c r="B817" s="182"/>
      <c r="C817" s="36"/>
      <c r="D817" s="37"/>
      <c r="E817" s="37"/>
      <c r="F817" s="53"/>
      <c r="G817" s="37"/>
      <c r="H817" s="417"/>
      <c r="I817" s="417"/>
      <c r="J817" s="417"/>
      <c r="K817" s="417"/>
      <c r="L817" s="417"/>
      <c r="M817" s="417"/>
      <c r="N817" s="417"/>
      <c r="O817" s="417"/>
      <c r="P817" s="417"/>
      <c r="Q817" s="417"/>
      <c r="R817" s="472">
        <f t="shared" si="332"/>
        <v>0</v>
      </c>
      <c r="S817" s="472">
        <f t="shared" si="333"/>
        <v>0</v>
      </c>
      <c r="T817" s="472">
        <f t="shared" si="334"/>
        <v>0</v>
      </c>
      <c r="U817" s="182"/>
      <c r="V817" s="36"/>
      <c r="W817" s="37"/>
      <c r="X817" s="37"/>
      <c r="Y817" s="53"/>
      <c r="Z817" s="37"/>
      <c r="AA817" s="12" t="b">
        <f t="shared" si="336"/>
        <v>1</v>
      </c>
      <c r="AB817" s="12" t="b">
        <f t="shared" si="337"/>
        <v>1</v>
      </c>
      <c r="AC817" s="12" t="b">
        <f t="shared" si="338"/>
        <v>1</v>
      </c>
      <c r="AD817" s="12" t="b">
        <f t="shared" si="339"/>
        <v>1</v>
      </c>
      <c r="AE817" s="12" t="b">
        <f t="shared" si="340"/>
        <v>1</v>
      </c>
      <c r="AF817" s="12" t="b">
        <f t="shared" si="341"/>
        <v>1</v>
      </c>
    </row>
    <row r="818" spans="1:32" s="12" customFormat="1" ht="15.75" customHeight="1">
      <c r="A818" s="285"/>
      <c r="B818" s="42" t="s">
        <v>611</v>
      </c>
      <c r="C818" s="25" t="s">
        <v>100</v>
      </c>
      <c r="D818" s="26" t="s">
        <v>83</v>
      </c>
      <c r="E818" s="26" t="s">
        <v>83</v>
      </c>
      <c r="F818" s="26" t="s">
        <v>223</v>
      </c>
      <c r="G818" s="26" t="s">
        <v>90</v>
      </c>
      <c r="H818" s="43">
        <f>H819+H836</f>
        <v>296294.84000000003</v>
      </c>
      <c r="I818" s="43">
        <f>I819+I836</f>
        <v>248238.25999999998</v>
      </c>
      <c r="J818" s="43">
        <f>J819+J836</f>
        <v>248430.55999999997</v>
      </c>
      <c r="K818" s="43">
        <v>255066.44</v>
      </c>
      <c r="L818" s="43">
        <v>248238.25999999998</v>
      </c>
      <c r="M818" s="43">
        <v>248430.55999999997</v>
      </c>
      <c r="N818" s="43"/>
      <c r="O818" s="43">
        <v>253411.39</v>
      </c>
      <c r="P818" s="43">
        <v>246583.21000000002</v>
      </c>
      <c r="Q818" s="43">
        <v>246775.51</v>
      </c>
      <c r="R818" s="472">
        <f t="shared" si="332"/>
        <v>42883.450000000012</v>
      </c>
      <c r="S818" s="472">
        <f t="shared" si="333"/>
        <v>1655.0499999999593</v>
      </c>
      <c r="T818" s="472">
        <f t="shared" si="334"/>
        <v>1655.0499999999593</v>
      </c>
      <c r="U818" s="42" t="s">
        <v>611</v>
      </c>
      <c r="V818" s="25" t="s">
        <v>100</v>
      </c>
      <c r="W818" s="26" t="s">
        <v>83</v>
      </c>
      <c r="X818" s="26" t="s">
        <v>83</v>
      </c>
      <c r="Y818" s="26" t="s">
        <v>223</v>
      </c>
      <c r="Z818" s="26" t="s">
        <v>90</v>
      </c>
      <c r="AA818" s="12" t="b">
        <f t="shared" si="336"/>
        <v>1</v>
      </c>
      <c r="AB818" s="12" t="b">
        <f t="shared" si="337"/>
        <v>1</v>
      </c>
      <c r="AC818" s="12" t="b">
        <f t="shared" si="338"/>
        <v>1</v>
      </c>
      <c r="AD818" s="12" t="b">
        <f t="shared" si="339"/>
        <v>1</v>
      </c>
      <c r="AE818" s="12" t="b">
        <f t="shared" si="340"/>
        <v>1</v>
      </c>
      <c r="AF818" s="12" t="b">
        <f t="shared" si="341"/>
        <v>1</v>
      </c>
    </row>
    <row r="819" spans="1:32" s="12" customFormat="1" ht="15.75" customHeight="1">
      <c r="A819" s="285"/>
      <c r="B819" s="28" t="s">
        <v>103</v>
      </c>
      <c r="C819" s="29" t="s">
        <v>100</v>
      </c>
      <c r="D819" s="30" t="s">
        <v>104</v>
      </c>
      <c r="E819" s="30" t="s">
        <v>83</v>
      </c>
      <c r="F819" s="30" t="s">
        <v>223</v>
      </c>
      <c r="G819" s="30" t="s">
        <v>90</v>
      </c>
      <c r="H819" s="31">
        <f>H820</f>
        <v>16019.01</v>
      </c>
      <c r="I819" s="31">
        <f>I820</f>
        <v>16074.55</v>
      </c>
      <c r="J819" s="31">
        <f>J820</f>
        <v>16109.55</v>
      </c>
      <c r="K819" s="31">
        <v>16019.01</v>
      </c>
      <c r="L819" s="31">
        <v>16074.55</v>
      </c>
      <c r="M819" s="31">
        <v>16109.55</v>
      </c>
      <c r="N819" s="31"/>
      <c r="O819" s="31">
        <v>15688</v>
      </c>
      <c r="P819" s="31">
        <v>15743.539999999999</v>
      </c>
      <c r="Q819" s="31">
        <v>15778.539999999999</v>
      </c>
      <c r="R819" s="472">
        <f t="shared" si="332"/>
        <v>331.01000000000022</v>
      </c>
      <c r="S819" s="472">
        <f t="shared" si="333"/>
        <v>331.01000000000022</v>
      </c>
      <c r="T819" s="472">
        <f t="shared" si="334"/>
        <v>331.01000000000022</v>
      </c>
      <c r="U819" s="28" t="s">
        <v>103</v>
      </c>
      <c r="V819" s="29" t="s">
        <v>100</v>
      </c>
      <c r="W819" s="30" t="s">
        <v>104</v>
      </c>
      <c r="X819" s="30" t="s">
        <v>83</v>
      </c>
      <c r="Y819" s="30" t="s">
        <v>223</v>
      </c>
      <c r="Z819" s="30" t="s">
        <v>90</v>
      </c>
      <c r="AA819" s="12" t="b">
        <f t="shared" si="336"/>
        <v>1</v>
      </c>
      <c r="AB819" s="12" t="b">
        <f t="shared" si="337"/>
        <v>1</v>
      </c>
      <c r="AC819" s="12" t="b">
        <f t="shared" si="338"/>
        <v>1</v>
      </c>
      <c r="AD819" s="12" t="b">
        <f t="shared" si="339"/>
        <v>1</v>
      </c>
      <c r="AE819" s="12" t="b">
        <f t="shared" si="340"/>
        <v>1</v>
      </c>
      <c r="AF819" s="12" t="b">
        <f t="shared" si="341"/>
        <v>1</v>
      </c>
    </row>
    <row r="820" spans="1:32" s="12" customFormat="1" ht="15.75" customHeight="1">
      <c r="A820" s="285"/>
      <c r="B820" s="32" t="s">
        <v>683</v>
      </c>
      <c r="C820" s="33" t="s">
        <v>100</v>
      </c>
      <c r="D820" s="34" t="s">
        <v>104</v>
      </c>
      <c r="E820" s="34" t="s">
        <v>85</v>
      </c>
      <c r="F820" s="34" t="s">
        <v>223</v>
      </c>
      <c r="G820" s="34" t="s">
        <v>90</v>
      </c>
      <c r="H820" s="35">
        <f>H821+H826+H831</f>
        <v>16019.01</v>
      </c>
      <c r="I820" s="35">
        <f>I821+I826+I831</f>
        <v>16074.55</v>
      </c>
      <c r="J820" s="35">
        <f>J821+J826+J831</f>
        <v>16109.55</v>
      </c>
      <c r="K820" s="35">
        <v>16019.01</v>
      </c>
      <c r="L820" s="35">
        <v>16074.55</v>
      </c>
      <c r="M820" s="35">
        <v>16109.55</v>
      </c>
      <c r="N820" s="35"/>
      <c r="O820" s="35">
        <v>15688</v>
      </c>
      <c r="P820" s="35">
        <v>15743.539999999999</v>
      </c>
      <c r="Q820" s="35">
        <v>15778.539999999999</v>
      </c>
      <c r="R820" s="472">
        <f t="shared" si="332"/>
        <v>331.01000000000022</v>
      </c>
      <c r="S820" s="472">
        <f t="shared" si="333"/>
        <v>331.01000000000022</v>
      </c>
      <c r="T820" s="472">
        <f t="shared" si="334"/>
        <v>331.01000000000022</v>
      </c>
      <c r="U820" s="32" t="s">
        <v>683</v>
      </c>
      <c r="V820" s="33" t="s">
        <v>100</v>
      </c>
      <c r="W820" s="34" t="s">
        <v>104</v>
      </c>
      <c r="X820" s="34" t="s">
        <v>85</v>
      </c>
      <c r="Y820" s="34" t="s">
        <v>223</v>
      </c>
      <c r="Z820" s="34" t="s">
        <v>90</v>
      </c>
      <c r="AA820" s="12" t="b">
        <f t="shared" si="336"/>
        <v>1</v>
      </c>
      <c r="AB820" s="12" t="b">
        <f t="shared" si="337"/>
        <v>1</v>
      </c>
      <c r="AC820" s="12" t="b">
        <f t="shared" si="338"/>
        <v>1</v>
      </c>
      <c r="AD820" s="12" t="b">
        <f t="shared" si="339"/>
        <v>1</v>
      </c>
      <c r="AE820" s="12" t="b">
        <f t="shared" si="340"/>
        <v>1</v>
      </c>
      <c r="AF820" s="12" t="b">
        <f t="shared" si="341"/>
        <v>1</v>
      </c>
    </row>
    <row r="821" spans="1:32" s="12" customFormat="1" ht="15.75" customHeight="1">
      <c r="A821" s="285"/>
      <c r="B821" s="182" t="s">
        <v>657</v>
      </c>
      <c r="C821" s="36" t="s">
        <v>100</v>
      </c>
      <c r="D821" s="37" t="s">
        <v>104</v>
      </c>
      <c r="E821" s="37" t="s">
        <v>85</v>
      </c>
      <c r="F821" s="37" t="s">
        <v>400</v>
      </c>
      <c r="G821" s="37" t="s">
        <v>90</v>
      </c>
      <c r="H821" s="183">
        <f t="shared" ref="H821:J824" si="342">H822</f>
        <v>15960.18</v>
      </c>
      <c r="I821" s="183">
        <f t="shared" si="342"/>
        <v>16015.72</v>
      </c>
      <c r="J821" s="183">
        <f t="shared" si="342"/>
        <v>16050.72</v>
      </c>
      <c r="K821" s="183">
        <v>15960.18</v>
      </c>
      <c r="L821" s="183">
        <v>16015.72</v>
      </c>
      <c r="M821" s="183">
        <v>16050.72</v>
      </c>
      <c r="N821" s="183"/>
      <c r="O821" s="183">
        <v>15629.17</v>
      </c>
      <c r="P821" s="183">
        <v>15684.71</v>
      </c>
      <c r="Q821" s="183">
        <v>15719.71</v>
      </c>
      <c r="R821" s="472">
        <f t="shared" si="332"/>
        <v>331.01000000000022</v>
      </c>
      <c r="S821" s="472">
        <f t="shared" si="333"/>
        <v>331.01000000000022</v>
      </c>
      <c r="T821" s="472">
        <f t="shared" si="334"/>
        <v>331.01000000000022</v>
      </c>
      <c r="U821" s="182" t="s">
        <v>657</v>
      </c>
      <c r="V821" s="36" t="s">
        <v>100</v>
      </c>
      <c r="W821" s="37" t="s">
        <v>104</v>
      </c>
      <c r="X821" s="37" t="s">
        <v>85</v>
      </c>
      <c r="Y821" s="37" t="s">
        <v>400</v>
      </c>
      <c r="Z821" s="37" t="s">
        <v>90</v>
      </c>
      <c r="AA821" s="12" t="b">
        <f t="shared" si="336"/>
        <v>1</v>
      </c>
      <c r="AB821" s="12" t="b">
        <f t="shared" si="337"/>
        <v>1</v>
      </c>
      <c r="AC821" s="12" t="b">
        <f t="shared" si="338"/>
        <v>1</v>
      </c>
      <c r="AD821" s="12" t="b">
        <f t="shared" si="339"/>
        <v>1</v>
      </c>
      <c r="AE821" s="12" t="b">
        <f t="shared" si="340"/>
        <v>1</v>
      </c>
      <c r="AF821" s="12" t="b">
        <f t="shared" si="341"/>
        <v>1</v>
      </c>
    </row>
    <row r="822" spans="1:32" s="12" customFormat="1" ht="15.75" customHeight="1">
      <c r="A822" s="285"/>
      <c r="B822" s="182" t="s">
        <v>923</v>
      </c>
      <c r="C822" s="36" t="s">
        <v>100</v>
      </c>
      <c r="D822" s="37" t="s">
        <v>104</v>
      </c>
      <c r="E822" s="37" t="s">
        <v>85</v>
      </c>
      <c r="F822" s="37" t="s">
        <v>401</v>
      </c>
      <c r="G822" s="37" t="s">
        <v>90</v>
      </c>
      <c r="H822" s="183">
        <f t="shared" si="342"/>
        <v>15960.18</v>
      </c>
      <c r="I822" s="183">
        <f t="shared" si="342"/>
        <v>16015.72</v>
      </c>
      <c r="J822" s="183">
        <f t="shared" si="342"/>
        <v>16050.72</v>
      </c>
      <c r="K822" s="183">
        <v>15960.18</v>
      </c>
      <c r="L822" s="183">
        <v>16015.72</v>
      </c>
      <c r="M822" s="183">
        <v>16050.72</v>
      </c>
      <c r="N822" s="183"/>
      <c r="O822" s="183">
        <v>15629.17</v>
      </c>
      <c r="P822" s="183">
        <v>15684.71</v>
      </c>
      <c r="Q822" s="183">
        <v>15719.71</v>
      </c>
      <c r="R822" s="472">
        <f t="shared" si="332"/>
        <v>331.01000000000022</v>
      </c>
      <c r="S822" s="472">
        <f t="shared" si="333"/>
        <v>331.01000000000022</v>
      </c>
      <c r="T822" s="472">
        <f t="shared" si="334"/>
        <v>331.01000000000022</v>
      </c>
      <c r="U822" s="182" t="s">
        <v>923</v>
      </c>
      <c r="V822" s="36" t="s">
        <v>100</v>
      </c>
      <c r="W822" s="37" t="s">
        <v>104</v>
      </c>
      <c r="X822" s="37" t="s">
        <v>85</v>
      </c>
      <c r="Y822" s="37" t="s">
        <v>401</v>
      </c>
      <c r="Z822" s="37" t="s">
        <v>90</v>
      </c>
      <c r="AA822" s="12" t="b">
        <f t="shared" si="336"/>
        <v>1</v>
      </c>
      <c r="AB822" s="12" t="b">
        <f t="shared" si="337"/>
        <v>1</v>
      </c>
      <c r="AC822" s="12" t="b">
        <f t="shared" si="338"/>
        <v>1</v>
      </c>
      <c r="AD822" s="12" t="b">
        <f t="shared" si="339"/>
        <v>1</v>
      </c>
      <c r="AE822" s="12" t="b">
        <f t="shared" si="340"/>
        <v>1</v>
      </c>
      <c r="AF822" s="12" t="b">
        <f t="shared" si="341"/>
        <v>1</v>
      </c>
    </row>
    <row r="823" spans="1:32" s="12" customFormat="1" ht="15.75" customHeight="1">
      <c r="A823" s="285"/>
      <c r="B823" s="182" t="s">
        <v>924</v>
      </c>
      <c r="C823" s="36" t="s">
        <v>100</v>
      </c>
      <c r="D823" s="37" t="s">
        <v>104</v>
      </c>
      <c r="E823" s="37" t="s">
        <v>85</v>
      </c>
      <c r="F823" s="37" t="s">
        <v>402</v>
      </c>
      <c r="G823" s="37" t="s">
        <v>90</v>
      </c>
      <c r="H823" s="183">
        <f>H824</f>
        <v>15960.18</v>
      </c>
      <c r="I823" s="183">
        <f t="shared" si="342"/>
        <v>16015.72</v>
      </c>
      <c r="J823" s="183">
        <f t="shared" si="342"/>
        <v>16050.72</v>
      </c>
      <c r="K823" s="183">
        <v>15960.18</v>
      </c>
      <c r="L823" s="183">
        <v>16015.72</v>
      </c>
      <c r="M823" s="183">
        <v>16050.72</v>
      </c>
      <c r="N823" s="183"/>
      <c r="O823" s="183">
        <v>15629.17</v>
      </c>
      <c r="P823" s="183">
        <v>15684.71</v>
      </c>
      <c r="Q823" s="183">
        <v>15719.71</v>
      </c>
      <c r="R823" s="472">
        <f t="shared" si="332"/>
        <v>331.01000000000022</v>
      </c>
      <c r="S823" s="472">
        <f t="shared" si="333"/>
        <v>331.01000000000022</v>
      </c>
      <c r="T823" s="472">
        <f t="shared" si="334"/>
        <v>331.01000000000022</v>
      </c>
      <c r="U823" s="182" t="s">
        <v>924</v>
      </c>
      <c r="V823" s="36" t="s">
        <v>100</v>
      </c>
      <c r="W823" s="37" t="s">
        <v>104</v>
      </c>
      <c r="X823" s="37" t="s">
        <v>85</v>
      </c>
      <c r="Y823" s="37" t="s">
        <v>402</v>
      </c>
      <c r="Z823" s="37" t="s">
        <v>90</v>
      </c>
      <c r="AA823" s="12" t="b">
        <f t="shared" si="336"/>
        <v>1</v>
      </c>
      <c r="AB823" s="12" t="b">
        <f t="shared" si="337"/>
        <v>1</v>
      </c>
      <c r="AC823" s="12" t="b">
        <f t="shared" si="338"/>
        <v>1</v>
      </c>
      <c r="AD823" s="12" t="b">
        <f t="shared" si="339"/>
        <v>1</v>
      </c>
      <c r="AE823" s="12" t="b">
        <f t="shared" si="340"/>
        <v>1</v>
      </c>
      <c r="AF823" s="12" t="b">
        <f t="shared" si="341"/>
        <v>1</v>
      </c>
    </row>
    <row r="824" spans="1:32" s="12" customFormat="1" ht="15.75" customHeight="1">
      <c r="A824" s="285"/>
      <c r="B824" s="64" t="s">
        <v>254</v>
      </c>
      <c r="C824" s="36" t="s">
        <v>100</v>
      </c>
      <c r="D824" s="37" t="s">
        <v>104</v>
      </c>
      <c r="E824" s="37" t="s">
        <v>85</v>
      </c>
      <c r="F824" s="37" t="s">
        <v>403</v>
      </c>
      <c r="G824" s="37" t="s">
        <v>90</v>
      </c>
      <c r="H824" s="183">
        <f t="shared" si="342"/>
        <v>15960.18</v>
      </c>
      <c r="I824" s="183">
        <f t="shared" si="342"/>
        <v>16015.72</v>
      </c>
      <c r="J824" s="183">
        <f t="shared" si="342"/>
        <v>16050.72</v>
      </c>
      <c r="K824" s="183">
        <v>15960.18</v>
      </c>
      <c r="L824" s="183">
        <v>16015.72</v>
      </c>
      <c r="M824" s="183">
        <v>16050.72</v>
      </c>
      <c r="N824" s="183"/>
      <c r="O824" s="183">
        <v>15629.17</v>
      </c>
      <c r="P824" s="183">
        <v>15684.71</v>
      </c>
      <c r="Q824" s="183">
        <v>15719.71</v>
      </c>
      <c r="R824" s="472">
        <f t="shared" si="332"/>
        <v>331.01000000000022</v>
      </c>
      <c r="S824" s="472">
        <f t="shared" si="333"/>
        <v>331.01000000000022</v>
      </c>
      <c r="T824" s="472">
        <f t="shared" si="334"/>
        <v>331.01000000000022</v>
      </c>
      <c r="U824" s="64" t="s">
        <v>254</v>
      </c>
      <c r="V824" s="36" t="s">
        <v>100</v>
      </c>
      <c r="W824" s="37" t="s">
        <v>104</v>
      </c>
      <c r="X824" s="37" t="s">
        <v>85</v>
      </c>
      <c r="Y824" s="37" t="s">
        <v>403</v>
      </c>
      <c r="Z824" s="37" t="s">
        <v>90</v>
      </c>
      <c r="AA824" s="12" t="b">
        <f t="shared" si="336"/>
        <v>1</v>
      </c>
      <c r="AB824" s="12" t="b">
        <f t="shared" si="337"/>
        <v>1</v>
      </c>
      <c r="AC824" s="12" t="b">
        <f t="shared" si="338"/>
        <v>1</v>
      </c>
      <c r="AD824" s="12" t="b">
        <f t="shared" si="339"/>
        <v>1</v>
      </c>
      <c r="AE824" s="12" t="b">
        <f t="shared" si="340"/>
        <v>1</v>
      </c>
      <c r="AF824" s="12" t="b">
        <f t="shared" si="341"/>
        <v>1</v>
      </c>
    </row>
    <row r="825" spans="1:32" s="12" customFormat="1" ht="15.75" customHeight="1">
      <c r="A825" s="285"/>
      <c r="B825" s="65" t="s">
        <v>132</v>
      </c>
      <c r="C825" s="56" t="s">
        <v>100</v>
      </c>
      <c r="D825" s="57" t="s">
        <v>104</v>
      </c>
      <c r="E825" s="57" t="s">
        <v>85</v>
      </c>
      <c r="F825" s="57" t="s">
        <v>403</v>
      </c>
      <c r="G825" s="57" t="s">
        <v>171</v>
      </c>
      <c r="H825" s="58">
        <f>15629.17+331.01</f>
        <v>15960.18</v>
      </c>
      <c r="I825" s="58">
        <f>15684.71+331.01</f>
        <v>16015.72</v>
      </c>
      <c r="J825" s="58">
        <f>15719.71+331.01</f>
        <v>16050.72</v>
      </c>
      <c r="K825" s="58">
        <v>15960.18</v>
      </c>
      <c r="L825" s="58">
        <v>16015.72</v>
      </c>
      <c r="M825" s="58">
        <v>16050.72</v>
      </c>
      <c r="N825" s="58"/>
      <c r="O825" s="58">
        <v>15629.17</v>
      </c>
      <c r="P825" s="58">
        <v>15684.71</v>
      </c>
      <c r="Q825" s="58">
        <v>15719.71</v>
      </c>
      <c r="R825" s="472">
        <f t="shared" si="332"/>
        <v>331.01000000000022</v>
      </c>
      <c r="S825" s="472">
        <f t="shared" si="333"/>
        <v>331.01000000000022</v>
      </c>
      <c r="T825" s="472">
        <f t="shared" si="334"/>
        <v>331.01000000000022</v>
      </c>
      <c r="U825" s="65" t="s">
        <v>132</v>
      </c>
      <c r="V825" s="56" t="s">
        <v>100</v>
      </c>
      <c r="W825" s="57" t="s">
        <v>104</v>
      </c>
      <c r="X825" s="57" t="s">
        <v>85</v>
      </c>
      <c r="Y825" s="57" t="s">
        <v>403</v>
      </c>
      <c r="Z825" s="57" t="s">
        <v>171</v>
      </c>
      <c r="AA825" s="12" t="b">
        <f t="shared" si="336"/>
        <v>1</v>
      </c>
      <c r="AB825" s="12" t="b">
        <f t="shared" si="337"/>
        <v>1</v>
      </c>
      <c r="AC825" s="12" t="b">
        <f t="shared" si="338"/>
        <v>1</v>
      </c>
      <c r="AD825" s="12" t="b">
        <f t="shared" si="339"/>
        <v>1</v>
      </c>
      <c r="AE825" s="12" t="b">
        <f t="shared" si="340"/>
        <v>1</v>
      </c>
      <c r="AF825" s="12" t="b">
        <f t="shared" si="341"/>
        <v>1</v>
      </c>
    </row>
    <row r="826" spans="1:32" s="12" customFormat="1" ht="15.75" customHeight="1">
      <c r="A826" s="285"/>
      <c r="B826" s="182" t="s">
        <v>667</v>
      </c>
      <c r="C826" s="36" t="s">
        <v>100</v>
      </c>
      <c r="D826" s="37" t="s">
        <v>104</v>
      </c>
      <c r="E826" s="37" t="s">
        <v>85</v>
      </c>
      <c r="F826" s="37" t="s">
        <v>255</v>
      </c>
      <c r="G826" s="37" t="s">
        <v>90</v>
      </c>
      <c r="H826" s="183">
        <f t="shared" ref="H826:J829" si="343">H827</f>
        <v>24.63</v>
      </c>
      <c r="I826" s="183">
        <f t="shared" si="343"/>
        <v>24.63</v>
      </c>
      <c r="J826" s="183">
        <f t="shared" si="343"/>
        <v>24.63</v>
      </c>
      <c r="K826" s="183">
        <v>24.63</v>
      </c>
      <c r="L826" s="183">
        <v>24.63</v>
      </c>
      <c r="M826" s="183">
        <v>24.63</v>
      </c>
      <c r="N826" s="183"/>
      <c r="O826" s="183">
        <v>24.63</v>
      </c>
      <c r="P826" s="183">
        <v>24.63</v>
      </c>
      <c r="Q826" s="183">
        <v>24.63</v>
      </c>
      <c r="R826" s="472">
        <f t="shared" si="332"/>
        <v>0</v>
      </c>
      <c r="S826" s="472">
        <f t="shared" si="333"/>
        <v>0</v>
      </c>
      <c r="T826" s="472">
        <f t="shared" si="334"/>
        <v>0</v>
      </c>
      <c r="U826" s="182" t="s">
        <v>667</v>
      </c>
      <c r="V826" s="36" t="s">
        <v>100</v>
      </c>
      <c r="W826" s="37" t="s">
        <v>104</v>
      </c>
      <c r="X826" s="37" t="s">
        <v>85</v>
      </c>
      <c r="Y826" s="37" t="s">
        <v>255</v>
      </c>
      <c r="Z826" s="37" t="s">
        <v>90</v>
      </c>
      <c r="AA826" s="12" t="b">
        <f t="shared" si="336"/>
        <v>1</v>
      </c>
      <c r="AB826" s="12" t="b">
        <f t="shared" si="337"/>
        <v>1</v>
      </c>
      <c r="AC826" s="12" t="b">
        <f t="shared" si="338"/>
        <v>1</v>
      </c>
      <c r="AD826" s="12" t="b">
        <f t="shared" si="339"/>
        <v>1</v>
      </c>
      <c r="AE826" s="12" t="b">
        <f t="shared" si="340"/>
        <v>1</v>
      </c>
      <c r="AF826" s="12" t="b">
        <f t="shared" si="341"/>
        <v>1</v>
      </c>
    </row>
    <row r="827" spans="1:32" s="12" customFormat="1" ht="15.75" customHeight="1">
      <c r="A827" s="285"/>
      <c r="B827" s="182" t="s">
        <v>814</v>
      </c>
      <c r="C827" s="36" t="s">
        <v>100</v>
      </c>
      <c r="D827" s="37" t="s">
        <v>104</v>
      </c>
      <c r="E827" s="37" t="s">
        <v>85</v>
      </c>
      <c r="F827" s="37" t="s">
        <v>256</v>
      </c>
      <c r="G827" s="37" t="s">
        <v>90</v>
      </c>
      <c r="H827" s="183">
        <f t="shared" si="343"/>
        <v>24.63</v>
      </c>
      <c r="I827" s="183">
        <f t="shared" si="343"/>
        <v>24.63</v>
      </c>
      <c r="J827" s="183">
        <f t="shared" si="343"/>
        <v>24.63</v>
      </c>
      <c r="K827" s="183">
        <v>24.63</v>
      </c>
      <c r="L827" s="183">
        <v>24.63</v>
      </c>
      <c r="M827" s="183">
        <v>24.63</v>
      </c>
      <c r="N827" s="183"/>
      <c r="O827" s="183">
        <v>24.63</v>
      </c>
      <c r="P827" s="183">
        <v>24.63</v>
      </c>
      <c r="Q827" s="183">
        <v>24.63</v>
      </c>
      <c r="R827" s="472">
        <f t="shared" si="332"/>
        <v>0</v>
      </c>
      <c r="S827" s="472">
        <f t="shared" si="333"/>
        <v>0</v>
      </c>
      <c r="T827" s="472">
        <f t="shared" si="334"/>
        <v>0</v>
      </c>
      <c r="U827" s="182" t="s">
        <v>814</v>
      </c>
      <c r="V827" s="36" t="s">
        <v>100</v>
      </c>
      <c r="W827" s="37" t="s">
        <v>104</v>
      </c>
      <c r="X827" s="37" t="s">
        <v>85</v>
      </c>
      <c r="Y827" s="37" t="s">
        <v>256</v>
      </c>
      <c r="Z827" s="37" t="s">
        <v>90</v>
      </c>
      <c r="AA827" s="12" t="b">
        <f t="shared" si="336"/>
        <v>1</v>
      </c>
      <c r="AB827" s="12" t="b">
        <f t="shared" si="337"/>
        <v>1</v>
      </c>
      <c r="AC827" s="12" t="b">
        <f t="shared" si="338"/>
        <v>1</v>
      </c>
      <c r="AD827" s="12" t="b">
        <f t="shared" si="339"/>
        <v>1</v>
      </c>
      <c r="AE827" s="12" t="b">
        <f t="shared" si="340"/>
        <v>1</v>
      </c>
      <c r="AF827" s="12" t="b">
        <f t="shared" si="341"/>
        <v>1</v>
      </c>
    </row>
    <row r="828" spans="1:32" s="12" customFormat="1" ht="15.75" customHeight="1">
      <c r="A828" s="285"/>
      <c r="B828" s="182" t="s">
        <v>1023</v>
      </c>
      <c r="C828" s="36" t="s">
        <v>100</v>
      </c>
      <c r="D828" s="37" t="s">
        <v>104</v>
      </c>
      <c r="E828" s="37" t="s">
        <v>85</v>
      </c>
      <c r="F828" s="37" t="s">
        <v>1022</v>
      </c>
      <c r="G828" s="37" t="s">
        <v>90</v>
      </c>
      <c r="H828" s="183">
        <f>H829</f>
        <v>24.63</v>
      </c>
      <c r="I828" s="183">
        <f t="shared" si="343"/>
        <v>24.63</v>
      </c>
      <c r="J828" s="183">
        <f t="shared" si="343"/>
        <v>24.63</v>
      </c>
      <c r="K828" s="183">
        <v>24.63</v>
      </c>
      <c r="L828" s="183">
        <v>24.63</v>
      </c>
      <c r="M828" s="183">
        <v>24.63</v>
      </c>
      <c r="N828" s="183"/>
      <c r="O828" s="183">
        <v>24.63</v>
      </c>
      <c r="P828" s="183">
        <v>24.63</v>
      </c>
      <c r="Q828" s="183">
        <v>24.63</v>
      </c>
      <c r="R828" s="472">
        <f t="shared" si="332"/>
        <v>0</v>
      </c>
      <c r="S828" s="472">
        <f t="shared" si="333"/>
        <v>0</v>
      </c>
      <c r="T828" s="472">
        <f t="shared" si="334"/>
        <v>0</v>
      </c>
      <c r="U828" s="182" t="s">
        <v>1023</v>
      </c>
      <c r="V828" s="36" t="s">
        <v>100</v>
      </c>
      <c r="W828" s="37" t="s">
        <v>104</v>
      </c>
      <c r="X828" s="37" t="s">
        <v>85</v>
      </c>
      <c r="Y828" s="37" t="s">
        <v>1022</v>
      </c>
      <c r="Z828" s="37" t="s">
        <v>90</v>
      </c>
      <c r="AA828" s="12" t="b">
        <f t="shared" si="336"/>
        <v>1</v>
      </c>
      <c r="AB828" s="12" t="b">
        <f t="shared" si="337"/>
        <v>1</v>
      </c>
      <c r="AC828" s="12" t="b">
        <f t="shared" si="338"/>
        <v>1</v>
      </c>
      <c r="AD828" s="12" t="b">
        <f t="shared" si="339"/>
        <v>1</v>
      </c>
      <c r="AE828" s="12" t="b">
        <f t="shared" si="340"/>
        <v>1</v>
      </c>
      <c r="AF828" s="12" t="b">
        <f t="shared" si="341"/>
        <v>1</v>
      </c>
    </row>
    <row r="829" spans="1:32" s="12" customFormat="1" ht="15.75" customHeight="1">
      <c r="A829" s="285"/>
      <c r="B829" s="23" t="s">
        <v>1028</v>
      </c>
      <c r="C829" s="36" t="s">
        <v>100</v>
      </c>
      <c r="D829" s="37" t="s">
        <v>104</v>
      </c>
      <c r="E829" s="37" t="s">
        <v>85</v>
      </c>
      <c r="F829" s="37" t="s">
        <v>1027</v>
      </c>
      <c r="G829" s="37" t="s">
        <v>90</v>
      </c>
      <c r="H829" s="183">
        <f t="shared" si="343"/>
        <v>24.63</v>
      </c>
      <c r="I829" s="183">
        <f t="shared" si="343"/>
        <v>24.63</v>
      </c>
      <c r="J829" s="183">
        <f t="shared" si="343"/>
        <v>24.63</v>
      </c>
      <c r="K829" s="183">
        <v>24.63</v>
      </c>
      <c r="L829" s="183">
        <v>24.63</v>
      </c>
      <c r="M829" s="183">
        <v>24.63</v>
      </c>
      <c r="N829" s="183"/>
      <c r="O829" s="183">
        <v>24.63</v>
      </c>
      <c r="P829" s="183">
        <v>24.63</v>
      </c>
      <c r="Q829" s="183">
        <v>24.63</v>
      </c>
      <c r="R829" s="472">
        <f t="shared" si="332"/>
        <v>0</v>
      </c>
      <c r="S829" s="472">
        <f t="shared" si="333"/>
        <v>0</v>
      </c>
      <c r="T829" s="472">
        <f t="shared" si="334"/>
        <v>0</v>
      </c>
      <c r="U829" s="23" t="s">
        <v>1028</v>
      </c>
      <c r="V829" s="36" t="s">
        <v>100</v>
      </c>
      <c r="W829" s="37" t="s">
        <v>104</v>
      </c>
      <c r="X829" s="37" t="s">
        <v>85</v>
      </c>
      <c r="Y829" s="37" t="s">
        <v>1027</v>
      </c>
      <c r="Z829" s="37" t="s">
        <v>90</v>
      </c>
      <c r="AA829" s="12" t="b">
        <f t="shared" si="336"/>
        <v>1</v>
      </c>
      <c r="AB829" s="12" t="b">
        <f t="shared" si="337"/>
        <v>1</v>
      </c>
      <c r="AC829" s="12" t="b">
        <f t="shared" si="338"/>
        <v>1</v>
      </c>
      <c r="AD829" s="12" t="b">
        <f t="shared" si="339"/>
        <v>1</v>
      </c>
      <c r="AE829" s="12" t="b">
        <f t="shared" si="340"/>
        <v>1</v>
      </c>
      <c r="AF829" s="12" t="b">
        <f t="shared" si="341"/>
        <v>1</v>
      </c>
    </row>
    <row r="830" spans="1:32" s="12" customFormat="1" ht="15.75" customHeight="1">
      <c r="A830" s="285"/>
      <c r="B830" s="23" t="s">
        <v>132</v>
      </c>
      <c r="C830" s="36" t="s">
        <v>100</v>
      </c>
      <c r="D830" s="37" t="s">
        <v>104</v>
      </c>
      <c r="E830" s="37" t="s">
        <v>85</v>
      </c>
      <c r="F830" s="37" t="s">
        <v>1027</v>
      </c>
      <c r="G830" s="37" t="s">
        <v>171</v>
      </c>
      <c r="H830" s="183">
        <v>24.63</v>
      </c>
      <c r="I830" s="183">
        <v>24.63</v>
      </c>
      <c r="J830" s="183">
        <v>24.63</v>
      </c>
      <c r="K830" s="183">
        <v>24.63</v>
      </c>
      <c r="L830" s="183">
        <v>24.63</v>
      </c>
      <c r="M830" s="183">
        <v>24.63</v>
      </c>
      <c r="N830" s="183"/>
      <c r="O830" s="183">
        <v>24.63</v>
      </c>
      <c r="P830" s="183">
        <v>24.63</v>
      </c>
      <c r="Q830" s="183">
        <v>24.63</v>
      </c>
      <c r="R830" s="472">
        <f t="shared" si="332"/>
        <v>0</v>
      </c>
      <c r="S830" s="472">
        <f t="shared" si="333"/>
        <v>0</v>
      </c>
      <c r="T830" s="472">
        <f t="shared" si="334"/>
        <v>0</v>
      </c>
      <c r="U830" s="23" t="s">
        <v>132</v>
      </c>
      <c r="V830" s="36" t="s">
        <v>100</v>
      </c>
      <c r="W830" s="37" t="s">
        <v>104</v>
      </c>
      <c r="X830" s="37" t="s">
        <v>85</v>
      </c>
      <c r="Y830" s="37" t="s">
        <v>1027</v>
      </c>
      <c r="Z830" s="37" t="s">
        <v>171</v>
      </c>
      <c r="AA830" s="12" t="b">
        <f t="shared" si="336"/>
        <v>1</v>
      </c>
      <c r="AB830" s="12" t="b">
        <f t="shared" si="337"/>
        <v>1</v>
      </c>
      <c r="AC830" s="12" t="b">
        <f t="shared" si="338"/>
        <v>1</v>
      </c>
      <c r="AD830" s="12" t="b">
        <f t="shared" si="339"/>
        <v>1</v>
      </c>
      <c r="AE830" s="12" t="b">
        <f t="shared" si="340"/>
        <v>1</v>
      </c>
      <c r="AF830" s="12" t="b">
        <f t="shared" si="341"/>
        <v>1</v>
      </c>
    </row>
    <row r="831" spans="1:32" s="12" customFormat="1" ht="15.75" customHeight="1">
      <c r="A831" s="285"/>
      <c r="B831" s="182" t="s">
        <v>1165</v>
      </c>
      <c r="C831" s="36" t="s">
        <v>100</v>
      </c>
      <c r="D831" s="37" t="s">
        <v>104</v>
      </c>
      <c r="E831" s="37" t="s">
        <v>85</v>
      </c>
      <c r="F831" s="37" t="s">
        <v>323</v>
      </c>
      <c r="G831" s="37" t="s">
        <v>90</v>
      </c>
      <c r="H831" s="183">
        <f t="shared" ref="H831:J834" si="344">H832</f>
        <v>34.200000000000003</v>
      </c>
      <c r="I831" s="183">
        <f t="shared" si="344"/>
        <v>34.200000000000003</v>
      </c>
      <c r="J831" s="183">
        <f t="shared" si="344"/>
        <v>34.200000000000003</v>
      </c>
      <c r="K831" s="183">
        <v>34.200000000000003</v>
      </c>
      <c r="L831" s="183">
        <v>34.200000000000003</v>
      </c>
      <c r="M831" s="183">
        <v>34.200000000000003</v>
      </c>
      <c r="N831" s="183"/>
      <c r="O831" s="183">
        <v>34.200000000000003</v>
      </c>
      <c r="P831" s="183">
        <v>34.200000000000003</v>
      </c>
      <c r="Q831" s="183">
        <v>34.200000000000003</v>
      </c>
      <c r="R831" s="472">
        <f t="shared" si="332"/>
        <v>0</v>
      </c>
      <c r="S831" s="472">
        <f t="shared" si="333"/>
        <v>0</v>
      </c>
      <c r="T831" s="472">
        <f t="shared" si="334"/>
        <v>0</v>
      </c>
      <c r="U831" s="182" t="s">
        <v>1165</v>
      </c>
      <c r="V831" s="36" t="s">
        <v>100</v>
      </c>
      <c r="W831" s="37" t="s">
        <v>104</v>
      </c>
      <c r="X831" s="37" t="s">
        <v>85</v>
      </c>
      <c r="Y831" s="37" t="s">
        <v>323</v>
      </c>
      <c r="Z831" s="37" t="s">
        <v>90</v>
      </c>
      <c r="AA831" s="12" t="b">
        <f t="shared" si="336"/>
        <v>1</v>
      </c>
      <c r="AB831" s="12" t="b">
        <f t="shared" si="337"/>
        <v>1</v>
      </c>
      <c r="AC831" s="12" t="b">
        <f t="shared" si="338"/>
        <v>1</v>
      </c>
      <c r="AD831" s="12" t="b">
        <f t="shared" si="339"/>
        <v>1</v>
      </c>
      <c r="AE831" s="12" t="b">
        <f t="shared" si="340"/>
        <v>1</v>
      </c>
      <c r="AF831" s="12" t="b">
        <f t="shared" si="341"/>
        <v>1</v>
      </c>
    </row>
    <row r="832" spans="1:32" s="12" customFormat="1" ht="15.75" customHeight="1">
      <c r="A832" s="285"/>
      <c r="B832" s="182" t="s">
        <v>1214</v>
      </c>
      <c r="C832" s="36" t="s">
        <v>100</v>
      </c>
      <c r="D832" s="37" t="s">
        <v>104</v>
      </c>
      <c r="E832" s="37" t="s">
        <v>85</v>
      </c>
      <c r="F832" s="37" t="s">
        <v>324</v>
      </c>
      <c r="G832" s="37" t="s">
        <v>90</v>
      </c>
      <c r="H832" s="183">
        <f t="shared" si="344"/>
        <v>34.200000000000003</v>
      </c>
      <c r="I832" s="183">
        <f t="shared" si="344"/>
        <v>34.200000000000003</v>
      </c>
      <c r="J832" s="183">
        <f t="shared" si="344"/>
        <v>34.200000000000003</v>
      </c>
      <c r="K832" s="183">
        <v>34.200000000000003</v>
      </c>
      <c r="L832" s="183">
        <v>34.200000000000003</v>
      </c>
      <c r="M832" s="183">
        <v>34.200000000000003</v>
      </c>
      <c r="N832" s="183"/>
      <c r="O832" s="183">
        <v>34.200000000000003</v>
      </c>
      <c r="P832" s="183">
        <v>34.200000000000003</v>
      </c>
      <c r="Q832" s="183">
        <v>34.200000000000003</v>
      </c>
      <c r="R832" s="472">
        <f t="shared" si="332"/>
        <v>0</v>
      </c>
      <c r="S832" s="472">
        <f t="shared" si="333"/>
        <v>0</v>
      </c>
      <c r="T832" s="472">
        <f t="shared" si="334"/>
        <v>0</v>
      </c>
      <c r="U832" s="495" t="s">
        <v>1214</v>
      </c>
      <c r="V832" s="36" t="s">
        <v>100</v>
      </c>
      <c r="W832" s="37" t="s">
        <v>104</v>
      </c>
      <c r="X832" s="37" t="s">
        <v>85</v>
      </c>
      <c r="Y832" s="37" t="s">
        <v>324</v>
      </c>
      <c r="Z832" s="37" t="s">
        <v>90</v>
      </c>
      <c r="AA832" s="12" t="b">
        <f t="shared" si="336"/>
        <v>1</v>
      </c>
      <c r="AB832" s="12" t="b">
        <f t="shared" si="337"/>
        <v>1</v>
      </c>
      <c r="AC832" s="12" t="b">
        <f t="shared" si="338"/>
        <v>1</v>
      </c>
      <c r="AD832" s="12" t="b">
        <f t="shared" si="339"/>
        <v>1</v>
      </c>
      <c r="AE832" s="12" t="b">
        <f t="shared" si="340"/>
        <v>1</v>
      </c>
      <c r="AF832" s="12" t="b">
        <f t="shared" si="341"/>
        <v>1</v>
      </c>
    </row>
    <row r="833" spans="1:32" s="12" customFormat="1" ht="15.75" customHeight="1">
      <c r="A833" s="285"/>
      <c r="B833" s="182" t="s">
        <v>573</v>
      </c>
      <c r="C833" s="36" t="s">
        <v>100</v>
      </c>
      <c r="D833" s="37" t="s">
        <v>104</v>
      </c>
      <c r="E833" s="37" t="s">
        <v>85</v>
      </c>
      <c r="F833" s="37" t="s">
        <v>526</v>
      </c>
      <c r="G833" s="37" t="s">
        <v>90</v>
      </c>
      <c r="H833" s="183">
        <f t="shared" si="344"/>
        <v>34.200000000000003</v>
      </c>
      <c r="I833" s="183">
        <f t="shared" si="344"/>
        <v>34.200000000000003</v>
      </c>
      <c r="J833" s="183">
        <f t="shared" si="344"/>
        <v>34.200000000000003</v>
      </c>
      <c r="K833" s="183">
        <v>34.200000000000003</v>
      </c>
      <c r="L833" s="183">
        <v>34.200000000000003</v>
      </c>
      <c r="M833" s="183">
        <v>34.200000000000003</v>
      </c>
      <c r="N833" s="183"/>
      <c r="O833" s="183">
        <v>34.200000000000003</v>
      </c>
      <c r="P833" s="183">
        <v>34.200000000000003</v>
      </c>
      <c r="Q833" s="183">
        <v>34.200000000000003</v>
      </c>
      <c r="R833" s="472">
        <f t="shared" si="332"/>
        <v>0</v>
      </c>
      <c r="S833" s="472">
        <f t="shared" si="333"/>
        <v>0</v>
      </c>
      <c r="T833" s="472">
        <f t="shared" si="334"/>
        <v>0</v>
      </c>
      <c r="U833" s="182" t="s">
        <v>573</v>
      </c>
      <c r="V833" s="36" t="s">
        <v>100</v>
      </c>
      <c r="W833" s="37" t="s">
        <v>104</v>
      </c>
      <c r="X833" s="37" t="s">
        <v>85</v>
      </c>
      <c r="Y833" s="37" t="s">
        <v>526</v>
      </c>
      <c r="Z833" s="37" t="s">
        <v>90</v>
      </c>
      <c r="AA833" s="12" t="b">
        <f t="shared" si="336"/>
        <v>1</v>
      </c>
      <c r="AB833" s="12" t="b">
        <f t="shared" si="337"/>
        <v>1</v>
      </c>
      <c r="AC833" s="12" t="b">
        <f t="shared" si="338"/>
        <v>1</v>
      </c>
      <c r="AD833" s="12" t="b">
        <f t="shared" si="339"/>
        <v>1</v>
      </c>
      <c r="AE833" s="12" t="b">
        <f t="shared" si="340"/>
        <v>1</v>
      </c>
      <c r="AF833" s="12" t="b">
        <f t="shared" si="341"/>
        <v>1</v>
      </c>
    </row>
    <row r="834" spans="1:32" s="12" customFormat="1" ht="15.75" customHeight="1">
      <c r="A834" s="285"/>
      <c r="B834" s="182" t="s">
        <v>202</v>
      </c>
      <c r="C834" s="36" t="s">
        <v>100</v>
      </c>
      <c r="D834" s="37" t="s">
        <v>104</v>
      </c>
      <c r="E834" s="37" t="s">
        <v>85</v>
      </c>
      <c r="F834" s="37" t="s">
        <v>527</v>
      </c>
      <c r="G834" s="37" t="s">
        <v>90</v>
      </c>
      <c r="H834" s="183">
        <f t="shared" si="344"/>
        <v>34.200000000000003</v>
      </c>
      <c r="I834" s="183">
        <f t="shared" si="344"/>
        <v>34.200000000000003</v>
      </c>
      <c r="J834" s="183">
        <f t="shared" si="344"/>
        <v>34.200000000000003</v>
      </c>
      <c r="K834" s="183">
        <v>34.200000000000003</v>
      </c>
      <c r="L834" s="183">
        <v>34.200000000000003</v>
      </c>
      <c r="M834" s="183">
        <v>34.200000000000003</v>
      </c>
      <c r="N834" s="183"/>
      <c r="O834" s="183">
        <v>34.200000000000003</v>
      </c>
      <c r="P834" s="183">
        <v>34.200000000000003</v>
      </c>
      <c r="Q834" s="183">
        <v>34.200000000000003</v>
      </c>
      <c r="R834" s="472">
        <f t="shared" si="332"/>
        <v>0</v>
      </c>
      <c r="S834" s="472">
        <f t="shared" si="333"/>
        <v>0</v>
      </c>
      <c r="T834" s="472">
        <f t="shared" si="334"/>
        <v>0</v>
      </c>
      <c r="U834" s="182" t="s">
        <v>202</v>
      </c>
      <c r="V834" s="36" t="s">
        <v>100</v>
      </c>
      <c r="W834" s="37" t="s">
        <v>104</v>
      </c>
      <c r="X834" s="37" t="s">
        <v>85</v>
      </c>
      <c r="Y834" s="37" t="s">
        <v>527</v>
      </c>
      <c r="Z834" s="37" t="s">
        <v>90</v>
      </c>
      <c r="AA834" s="12" t="b">
        <f t="shared" si="336"/>
        <v>1</v>
      </c>
      <c r="AB834" s="12" t="b">
        <f t="shared" si="337"/>
        <v>1</v>
      </c>
      <c r="AC834" s="12" t="b">
        <f t="shared" si="338"/>
        <v>1</v>
      </c>
      <c r="AD834" s="12" t="b">
        <f t="shared" si="339"/>
        <v>1</v>
      </c>
      <c r="AE834" s="12" t="b">
        <f t="shared" si="340"/>
        <v>1</v>
      </c>
      <c r="AF834" s="12" t="b">
        <f t="shared" si="341"/>
        <v>1</v>
      </c>
    </row>
    <row r="835" spans="1:32" s="12" customFormat="1" ht="15.75" customHeight="1">
      <c r="A835" s="285"/>
      <c r="B835" s="23" t="s">
        <v>132</v>
      </c>
      <c r="C835" s="36" t="s">
        <v>100</v>
      </c>
      <c r="D835" s="37" t="s">
        <v>104</v>
      </c>
      <c r="E835" s="37" t="s">
        <v>85</v>
      </c>
      <c r="F835" s="37" t="s">
        <v>527</v>
      </c>
      <c r="G835" s="37" t="s">
        <v>171</v>
      </c>
      <c r="H835" s="183">
        <v>34.200000000000003</v>
      </c>
      <c r="I835" s="183">
        <v>34.200000000000003</v>
      </c>
      <c r="J835" s="183">
        <v>34.200000000000003</v>
      </c>
      <c r="K835" s="183">
        <v>34.200000000000003</v>
      </c>
      <c r="L835" s="183">
        <v>34.200000000000003</v>
      </c>
      <c r="M835" s="183">
        <v>34.200000000000003</v>
      </c>
      <c r="N835" s="183"/>
      <c r="O835" s="183">
        <v>34.200000000000003</v>
      </c>
      <c r="P835" s="183">
        <v>34.200000000000003</v>
      </c>
      <c r="Q835" s="183">
        <v>34.200000000000003</v>
      </c>
      <c r="R835" s="472">
        <f t="shared" si="332"/>
        <v>0</v>
      </c>
      <c r="S835" s="472">
        <f t="shared" si="333"/>
        <v>0</v>
      </c>
      <c r="T835" s="472">
        <f t="shared" si="334"/>
        <v>0</v>
      </c>
      <c r="U835" s="23" t="s">
        <v>132</v>
      </c>
      <c r="V835" s="36" t="s">
        <v>100</v>
      </c>
      <c r="W835" s="37" t="s">
        <v>104</v>
      </c>
      <c r="X835" s="37" t="s">
        <v>85</v>
      </c>
      <c r="Y835" s="37" t="s">
        <v>527</v>
      </c>
      <c r="Z835" s="37" t="s">
        <v>171</v>
      </c>
      <c r="AA835" s="12" t="b">
        <f t="shared" si="336"/>
        <v>1</v>
      </c>
      <c r="AB835" s="12" t="b">
        <f t="shared" si="337"/>
        <v>1</v>
      </c>
      <c r="AC835" s="12" t="b">
        <f t="shared" si="338"/>
        <v>1</v>
      </c>
      <c r="AD835" s="12" t="b">
        <f t="shared" si="339"/>
        <v>1</v>
      </c>
      <c r="AE835" s="12" t="b">
        <f t="shared" si="340"/>
        <v>1</v>
      </c>
      <c r="AF835" s="12" t="b">
        <f t="shared" si="341"/>
        <v>1</v>
      </c>
    </row>
    <row r="836" spans="1:32" s="12" customFormat="1" ht="15.75" customHeight="1">
      <c r="A836" s="285"/>
      <c r="B836" s="28" t="s">
        <v>71</v>
      </c>
      <c r="C836" s="29" t="s">
        <v>100</v>
      </c>
      <c r="D836" s="30" t="s">
        <v>112</v>
      </c>
      <c r="E836" s="30" t="s">
        <v>83</v>
      </c>
      <c r="F836" s="30" t="s">
        <v>223</v>
      </c>
      <c r="G836" s="30" t="s">
        <v>90</v>
      </c>
      <c r="H836" s="31">
        <f>H837+H843+H873+H885</f>
        <v>280275.83</v>
      </c>
      <c r="I836" s="31">
        <f>I837+I843+I873+I885</f>
        <v>232163.71</v>
      </c>
      <c r="J836" s="31">
        <f>J837+J843+J873+J885</f>
        <v>232321.00999999998</v>
      </c>
      <c r="K836" s="31">
        <v>239047.43</v>
      </c>
      <c r="L836" s="31">
        <v>232163.71</v>
      </c>
      <c r="M836" s="31">
        <v>232321.00999999998</v>
      </c>
      <c r="N836" s="31"/>
      <c r="O836" s="31">
        <v>237723.39</v>
      </c>
      <c r="P836" s="31">
        <v>230839.67</v>
      </c>
      <c r="Q836" s="31">
        <v>230996.97</v>
      </c>
      <c r="R836" s="472">
        <f t="shared" si="332"/>
        <v>42552.44</v>
      </c>
      <c r="S836" s="472">
        <f t="shared" si="333"/>
        <v>1324.039999999979</v>
      </c>
      <c r="T836" s="472">
        <f t="shared" si="334"/>
        <v>1324.039999999979</v>
      </c>
      <c r="U836" s="28" t="s">
        <v>71</v>
      </c>
      <c r="V836" s="29" t="s">
        <v>100</v>
      </c>
      <c r="W836" s="30" t="s">
        <v>112</v>
      </c>
      <c r="X836" s="30" t="s">
        <v>83</v>
      </c>
      <c r="Y836" s="30" t="s">
        <v>223</v>
      </c>
      <c r="Z836" s="30" t="s">
        <v>90</v>
      </c>
      <c r="AA836" s="12" t="b">
        <f t="shared" si="336"/>
        <v>1</v>
      </c>
      <c r="AB836" s="12" t="b">
        <f t="shared" si="337"/>
        <v>1</v>
      </c>
      <c r="AC836" s="12" t="b">
        <f t="shared" si="338"/>
        <v>1</v>
      </c>
      <c r="AD836" s="12" t="b">
        <f t="shared" si="339"/>
        <v>1</v>
      </c>
      <c r="AE836" s="12" t="b">
        <f t="shared" si="340"/>
        <v>1</v>
      </c>
      <c r="AF836" s="12" t="b">
        <f t="shared" si="341"/>
        <v>1</v>
      </c>
    </row>
    <row r="837" spans="1:32" s="12" customFormat="1" ht="15.75" customHeight="1">
      <c r="A837" s="285"/>
      <c r="B837" s="32" t="s">
        <v>113</v>
      </c>
      <c r="C837" s="33" t="s">
        <v>100</v>
      </c>
      <c r="D837" s="34" t="s">
        <v>112</v>
      </c>
      <c r="E837" s="34" t="s">
        <v>98</v>
      </c>
      <c r="F837" s="34" t="s">
        <v>223</v>
      </c>
      <c r="G837" s="34" t="s">
        <v>90</v>
      </c>
      <c r="H837" s="35">
        <f t="shared" ref="H837:J841" si="345">H838</f>
        <v>4807.79</v>
      </c>
      <c r="I837" s="35">
        <f t="shared" si="345"/>
        <v>4812.79</v>
      </c>
      <c r="J837" s="35">
        <f t="shared" si="345"/>
        <v>4814.79</v>
      </c>
      <c r="K837" s="35">
        <v>4807.79</v>
      </c>
      <c r="L837" s="35">
        <v>4812.79</v>
      </c>
      <c r="M837" s="35">
        <v>4814.79</v>
      </c>
      <c r="N837" s="35"/>
      <c r="O837" s="35">
        <v>4694.95</v>
      </c>
      <c r="P837" s="35">
        <v>4699.95</v>
      </c>
      <c r="Q837" s="35">
        <v>4701.95</v>
      </c>
      <c r="R837" s="472">
        <f t="shared" si="332"/>
        <v>112.84000000000015</v>
      </c>
      <c r="S837" s="472">
        <f t="shared" si="333"/>
        <v>112.84000000000015</v>
      </c>
      <c r="T837" s="472">
        <f t="shared" si="334"/>
        <v>112.84000000000015</v>
      </c>
      <c r="U837" s="32" t="s">
        <v>113</v>
      </c>
      <c r="V837" s="33" t="s">
        <v>100</v>
      </c>
      <c r="W837" s="34" t="s">
        <v>112</v>
      </c>
      <c r="X837" s="34" t="s">
        <v>98</v>
      </c>
      <c r="Y837" s="34" t="s">
        <v>223</v>
      </c>
      <c r="Z837" s="34" t="s">
        <v>90</v>
      </c>
      <c r="AA837" s="12" t="b">
        <f t="shared" si="336"/>
        <v>1</v>
      </c>
      <c r="AB837" s="12" t="b">
        <f t="shared" si="337"/>
        <v>1</v>
      </c>
      <c r="AC837" s="12" t="b">
        <f t="shared" si="338"/>
        <v>1</v>
      </c>
      <c r="AD837" s="12" t="b">
        <f t="shared" si="339"/>
        <v>1</v>
      </c>
      <c r="AE837" s="12" t="b">
        <f t="shared" si="340"/>
        <v>1</v>
      </c>
      <c r="AF837" s="12" t="b">
        <f t="shared" si="341"/>
        <v>1</v>
      </c>
    </row>
    <row r="838" spans="1:32" s="12" customFormat="1" ht="15.75" customHeight="1">
      <c r="A838" s="285"/>
      <c r="B838" s="182" t="s">
        <v>657</v>
      </c>
      <c r="C838" s="36" t="s">
        <v>100</v>
      </c>
      <c r="D838" s="37" t="s">
        <v>112</v>
      </c>
      <c r="E838" s="37" t="s">
        <v>98</v>
      </c>
      <c r="F838" s="37" t="s">
        <v>400</v>
      </c>
      <c r="G838" s="37" t="s">
        <v>90</v>
      </c>
      <c r="H838" s="183">
        <f t="shared" si="345"/>
        <v>4807.79</v>
      </c>
      <c r="I838" s="183">
        <f t="shared" si="345"/>
        <v>4812.79</v>
      </c>
      <c r="J838" s="183">
        <f t="shared" si="345"/>
        <v>4814.79</v>
      </c>
      <c r="K838" s="183">
        <v>4807.79</v>
      </c>
      <c r="L838" s="183">
        <v>4812.79</v>
      </c>
      <c r="M838" s="183">
        <v>4814.79</v>
      </c>
      <c r="N838" s="183"/>
      <c r="O838" s="183">
        <v>4694.95</v>
      </c>
      <c r="P838" s="183">
        <v>4699.95</v>
      </c>
      <c r="Q838" s="183">
        <v>4701.95</v>
      </c>
      <c r="R838" s="472">
        <f t="shared" si="332"/>
        <v>112.84000000000015</v>
      </c>
      <c r="S838" s="472">
        <f t="shared" si="333"/>
        <v>112.84000000000015</v>
      </c>
      <c r="T838" s="472">
        <f t="shared" si="334"/>
        <v>112.84000000000015</v>
      </c>
      <c r="U838" s="182" t="s">
        <v>657</v>
      </c>
      <c r="V838" s="36" t="s">
        <v>100</v>
      </c>
      <c r="W838" s="37" t="s">
        <v>112</v>
      </c>
      <c r="X838" s="37" t="s">
        <v>98</v>
      </c>
      <c r="Y838" s="37" t="s">
        <v>400</v>
      </c>
      <c r="Z838" s="37" t="s">
        <v>90</v>
      </c>
      <c r="AA838" s="12" t="b">
        <f t="shared" si="336"/>
        <v>1</v>
      </c>
      <c r="AB838" s="12" t="b">
        <f t="shared" si="337"/>
        <v>1</v>
      </c>
      <c r="AC838" s="12" t="b">
        <f t="shared" si="338"/>
        <v>1</v>
      </c>
      <c r="AD838" s="12" t="b">
        <f t="shared" si="339"/>
        <v>1</v>
      </c>
      <c r="AE838" s="12" t="b">
        <f t="shared" si="340"/>
        <v>1</v>
      </c>
      <c r="AF838" s="12" t="b">
        <f t="shared" si="341"/>
        <v>1</v>
      </c>
    </row>
    <row r="839" spans="1:32" s="12" customFormat="1" ht="15.75" customHeight="1">
      <c r="A839" s="285"/>
      <c r="B839" s="182" t="s">
        <v>923</v>
      </c>
      <c r="C839" s="36" t="s">
        <v>100</v>
      </c>
      <c r="D839" s="37" t="s">
        <v>112</v>
      </c>
      <c r="E839" s="37" t="s">
        <v>98</v>
      </c>
      <c r="F839" s="37" t="s">
        <v>401</v>
      </c>
      <c r="G839" s="37" t="s">
        <v>90</v>
      </c>
      <c r="H839" s="183">
        <f t="shared" si="345"/>
        <v>4807.79</v>
      </c>
      <c r="I839" s="183">
        <f t="shared" si="345"/>
        <v>4812.79</v>
      </c>
      <c r="J839" s="183">
        <f t="shared" si="345"/>
        <v>4814.79</v>
      </c>
      <c r="K839" s="183">
        <v>4807.79</v>
      </c>
      <c r="L839" s="183">
        <v>4812.79</v>
      </c>
      <c r="M839" s="183">
        <v>4814.79</v>
      </c>
      <c r="N839" s="183"/>
      <c r="O839" s="183">
        <v>4694.95</v>
      </c>
      <c r="P839" s="183">
        <v>4699.95</v>
      </c>
      <c r="Q839" s="183">
        <v>4701.95</v>
      </c>
      <c r="R839" s="472">
        <f t="shared" si="332"/>
        <v>112.84000000000015</v>
      </c>
      <c r="S839" s="472">
        <f t="shared" si="333"/>
        <v>112.84000000000015</v>
      </c>
      <c r="T839" s="472">
        <f t="shared" si="334"/>
        <v>112.84000000000015</v>
      </c>
      <c r="U839" s="182" t="s">
        <v>923</v>
      </c>
      <c r="V839" s="36" t="s">
        <v>100</v>
      </c>
      <c r="W839" s="37" t="s">
        <v>112</v>
      </c>
      <c r="X839" s="37" t="s">
        <v>98</v>
      </c>
      <c r="Y839" s="37" t="s">
        <v>401</v>
      </c>
      <c r="Z839" s="37" t="s">
        <v>90</v>
      </c>
      <c r="AA839" s="12" t="b">
        <f t="shared" si="336"/>
        <v>1</v>
      </c>
      <c r="AB839" s="12" t="b">
        <f t="shared" si="337"/>
        <v>1</v>
      </c>
      <c r="AC839" s="12" t="b">
        <f t="shared" si="338"/>
        <v>1</v>
      </c>
      <c r="AD839" s="12" t="b">
        <f t="shared" si="339"/>
        <v>1</v>
      </c>
      <c r="AE839" s="12" t="b">
        <f t="shared" si="340"/>
        <v>1</v>
      </c>
      <c r="AF839" s="12" t="b">
        <f t="shared" si="341"/>
        <v>1</v>
      </c>
    </row>
    <row r="840" spans="1:32" s="12" customFormat="1" ht="15.75" customHeight="1">
      <c r="A840" s="285"/>
      <c r="B840" s="54" t="s">
        <v>415</v>
      </c>
      <c r="C840" s="56" t="s">
        <v>100</v>
      </c>
      <c r="D840" s="57" t="s">
        <v>112</v>
      </c>
      <c r="E840" s="57" t="s">
        <v>98</v>
      </c>
      <c r="F840" s="57" t="s">
        <v>416</v>
      </c>
      <c r="G840" s="57" t="s">
        <v>90</v>
      </c>
      <c r="H840" s="58">
        <f t="shared" si="345"/>
        <v>4807.79</v>
      </c>
      <c r="I840" s="58">
        <f t="shared" si="345"/>
        <v>4812.79</v>
      </c>
      <c r="J840" s="58">
        <f t="shared" si="345"/>
        <v>4814.79</v>
      </c>
      <c r="K840" s="58">
        <v>4807.79</v>
      </c>
      <c r="L840" s="58">
        <v>4812.79</v>
      </c>
      <c r="M840" s="58">
        <v>4814.79</v>
      </c>
      <c r="N840" s="58"/>
      <c r="O840" s="58">
        <v>4694.95</v>
      </c>
      <c r="P840" s="58">
        <v>4699.95</v>
      </c>
      <c r="Q840" s="58">
        <v>4701.95</v>
      </c>
      <c r="R840" s="472">
        <f t="shared" si="332"/>
        <v>112.84000000000015</v>
      </c>
      <c r="S840" s="472">
        <f t="shared" si="333"/>
        <v>112.84000000000015</v>
      </c>
      <c r="T840" s="472">
        <f t="shared" si="334"/>
        <v>112.84000000000015</v>
      </c>
      <c r="U840" s="54" t="s">
        <v>415</v>
      </c>
      <c r="V840" s="56" t="s">
        <v>100</v>
      </c>
      <c r="W840" s="57" t="s">
        <v>112</v>
      </c>
      <c r="X840" s="57" t="s">
        <v>98</v>
      </c>
      <c r="Y840" s="57" t="s">
        <v>416</v>
      </c>
      <c r="Z840" s="57" t="s">
        <v>90</v>
      </c>
      <c r="AA840" s="12" t="b">
        <f t="shared" si="336"/>
        <v>1</v>
      </c>
      <c r="AB840" s="12" t="b">
        <f t="shared" si="337"/>
        <v>1</v>
      </c>
      <c r="AC840" s="12" t="b">
        <f t="shared" si="338"/>
        <v>1</v>
      </c>
      <c r="AD840" s="12" t="b">
        <f t="shared" si="339"/>
        <v>1</v>
      </c>
      <c r="AE840" s="12" t="b">
        <f t="shared" si="340"/>
        <v>1</v>
      </c>
      <c r="AF840" s="12" t="b">
        <f t="shared" si="341"/>
        <v>1</v>
      </c>
    </row>
    <row r="841" spans="1:32" s="12" customFormat="1" ht="15.75" customHeight="1">
      <c r="A841" s="285"/>
      <c r="B841" s="64" t="s">
        <v>254</v>
      </c>
      <c r="C841" s="56" t="s">
        <v>100</v>
      </c>
      <c r="D841" s="57" t="s">
        <v>112</v>
      </c>
      <c r="E841" s="57" t="s">
        <v>98</v>
      </c>
      <c r="F841" s="57" t="s">
        <v>417</v>
      </c>
      <c r="G841" s="57" t="s">
        <v>90</v>
      </c>
      <c r="H841" s="58">
        <f t="shared" si="345"/>
        <v>4807.79</v>
      </c>
      <c r="I841" s="58">
        <f t="shared" si="345"/>
        <v>4812.79</v>
      </c>
      <c r="J841" s="58">
        <f t="shared" si="345"/>
        <v>4814.79</v>
      </c>
      <c r="K841" s="58">
        <v>4807.79</v>
      </c>
      <c r="L841" s="58">
        <v>4812.79</v>
      </c>
      <c r="M841" s="58">
        <v>4814.79</v>
      </c>
      <c r="N841" s="58"/>
      <c r="O841" s="58">
        <v>4694.95</v>
      </c>
      <c r="P841" s="58">
        <v>4699.95</v>
      </c>
      <c r="Q841" s="58">
        <v>4701.95</v>
      </c>
      <c r="R841" s="472">
        <f t="shared" si="332"/>
        <v>112.84000000000015</v>
      </c>
      <c r="S841" s="472">
        <f t="shared" si="333"/>
        <v>112.84000000000015</v>
      </c>
      <c r="T841" s="472">
        <f t="shared" si="334"/>
        <v>112.84000000000015</v>
      </c>
      <c r="U841" s="64" t="s">
        <v>254</v>
      </c>
      <c r="V841" s="56" t="s">
        <v>100</v>
      </c>
      <c r="W841" s="57" t="s">
        <v>112</v>
      </c>
      <c r="X841" s="57" t="s">
        <v>98</v>
      </c>
      <c r="Y841" s="57" t="s">
        <v>417</v>
      </c>
      <c r="Z841" s="57" t="s">
        <v>90</v>
      </c>
      <c r="AA841" s="12" t="b">
        <f t="shared" si="336"/>
        <v>1</v>
      </c>
      <c r="AB841" s="12" t="b">
        <f t="shared" si="337"/>
        <v>1</v>
      </c>
      <c r="AC841" s="12" t="b">
        <f t="shared" si="338"/>
        <v>1</v>
      </c>
      <c r="AD841" s="12" t="b">
        <f t="shared" si="339"/>
        <v>1</v>
      </c>
      <c r="AE841" s="12" t="b">
        <f t="shared" si="340"/>
        <v>1</v>
      </c>
      <c r="AF841" s="12" t="b">
        <f t="shared" si="341"/>
        <v>1</v>
      </c>
    </row>
    <row r="842" spans="1:32" s="12" customFormat="1" ht="15.75" customHeight="1">
      <c r="A842" s="285"/>
      <c r="B842" s="65" t="s">
        <v>132</v>
      </c>
      <c r="C842" s="56" t="s">
        <v>100</v>
      </c>
      <c r="D842" s="57" t="s">
        <v>112</v>
      </c>
      <c r="E842" s="57" t="s">
        <v>98</v>
      </c>
      <c r="F842" s="57" t="s">
        <v>417</v>
      </c>
      <c r="G842" s="57" t="s">
        <v>171</v>
      </c>
      <c r="H842" s="58">
        <f>4694.95+112.84</f>
        <v>4807.79</v>
      </c>
      <c r="I842" s="58">
        <f>4699.95+112.84</f>
        <v>4812.79</v>
      </c>
      <c r="J842" s="58">
        <f>4701.95+112.84</f>
        <v>4814.79</v>
      </c>
      <c r="K842" s="58">
        <v>4807.79</v>
      </c>
      <c r="L842" s="58">
        <v>4812.79</v>
      </c>
      <c r="M842" s="58">
        <v>4814.79</v>
      </c>
      <c r="N842" s="58"/>
      <c r="O842" s="58">
        <v>4694.95</v>
      </c>
      <c r="P842" s="58">
        <v>4699.95</v>
      </c>
      <c r="Q842" s="58">
        <v>4701.95</v>
      </c>
      <c r="R842" s="472">
        <f t="shared" si="332"/>
        <v>112.84000000000015</v>
      </c>
      <c r="S842" s="472">
        <f t="shared" si="333"/>
        <v>112.84000000000015</v>
      </c>
      <c r="T842" s="472">
        <f t="shared" si="334"/>
        <v>112.84000000000015</v>
      </c>
      <c r="U842" s="65" t="s">
        <v>132</v>
      </c>
      <c r="V842" s="56" t="s">
        <v>100</v>
      </c>
      <c r="W842" s="57" t="s">
        <v>112</v>
      </c>
      <c r="X842" s="57" t="s">
        <v>98</v>
      </c>
      <c r="Y842" s="57" t="s">
        <v>417</v>
      </c>
      <c r="Z842" s="57" t="s">
        <v>171</v>
      </c>
      <c r="AA842" s="12" t="b">
        <f t="shared" si="336"/>
        <v>1</v>
      </c>
      <c r="AB842" s="12" t="b">
        <f t="shared" si="337"/>
        <v>1</v>
      </c>
      <c r="AC842" s="12" t="b">
        <f t="shared" si="338"/>
        <v>1</v>
      </c>
      <c r="AD842" s="12" t="b">
        <f t="shared" si="339"/>
        <v>1</v>
      </c>
      <c r="AE842" s="12" t="b">
        <f t="shared" si="340"/>
        <v>1</v>
      </c>
      <c r="AF842" s="12" t="b">
        <f t="shared" si="341"/>
        <v>1</v>
      </c>
    </row>
    <row r="843" spans="1:32" s="12" customFormat="1" ht="15.75" customHeight="1">
      <c r="A843" s="285"/>
      <c r="B843" s="32" t="s">
        <v>114</v>
      </c>
      <c r="C843" s="33" t="s">
        <v>100</v>
      </c>
      <c r="D843" s="34" t="s">
        <v>112</v>
      </c>
      <c r="E843" s="34" t="s">
        <v>99</v>
      </c>
      <c r="F843" s="34" t="s">
        <v>223</v>
      </c>
      <c r="G843" s="34" t="s">
        <v>90</v>
      </c>
      <c r="H843" s="35">
        <f>H844+H868+H863</f>
        <v>203083.15</v>
      </c>
      <c r="I843" s="35">
        <f>I844+I868+I863</f>
        <v>203194.43</v>
      </c>
      <c r="J843" s="35">
        <f>J844+J868+J863</f>
        <v>203349.72999999998</v>
      </c>
      <c r="K843" s="35">
        <v>203083.15</v>
      </c>
      <c r="L843" s="35">
        <v>203194.43</v>
      </c>
      <c r="M843" s="35">
        <v>203349.72999999998</v>
      </c>
      <c r="N843" s="35"/>
      <c r="O843" s="35">
        <v>201887</v>
      </c>
      <c r="P843" s="35">
        <v>201998.28</v>
      </c>
      <c r="Q843" s="35">
        <v>202153.58</v>
      </c>
      <c r="R843" s="472">
        <f t="shared" si="332"/>
        <v>1196.1499999999942</v>
      </c>
      <c r="S843" s="472">
        <f t="shared" si="333"/>
        <v>1196.1499999999942</v>
      </c>
      <c r="T843" s="472">
        <f t="shared" si="334"/>
        <v>1196.1499999999942</v>
      </c>
      <c r="U843" s="32" t="s">
        <v>114</v>
      </c>
      <c r="V843" s="33" t="s">
        <v>100</v>
      </c>
      <c r="W843" s="34" t="s">
        <v>112</v>
      </c>
      <c r="X843" s="34" t="s">
        <v>99</v>
      </c>
      <c r="Y843" s="34" t="s">
        <v>223</v>
      </c>
      <c r="Z843" s="34" t="s">
        <v>90</v>
      </c>
      <c r="AA843" s="12" t="b">
        <f t="shared" si="336"/>
        <v>1</v>
      </c>
      <c r="AB843" s="12" t="b">
        <f t="shared" si="337"/>
        <v>1</v>
      </c>
      <c r="AC843" s="12" t="b">
        <f t="shared" si="338"/>
        <v>1</v>
      </c>
      <c r="AD843" s="12" t="b">
        <f t="shared" si="339"/>
        <v>1</v>
      </c>
      <c r="AE843" s="12" t="b">
        <f t="shared" si="340"/>
        <v>1</v>
      </c>
      <c r="AF843" s="12" t="b">
        <f t="shared" si="341"/>
        <v>1</v>
      </c>
    </row>
    <row r="844" spans="1:32" s="12" customFormat="1" ht="15.75" customHeight="1">
      <c r="A844" s="285"/>
      <c r="B844" s="182" t="s">
        <v>657</v>
      </c>
      <c r="C844" s="36" t="s">
        <v>100</v>
      </c>
      <c r="D844" s="37" t="s">
        <v>112</v>
      </c>
      <c r="E844" s="37" t="s">
        <v>99</v>
      </c>
      <c r="F844" s="37" t="s">
        <v>400</v>
      </c>
      <c r="G844" s="37" t="s">
        <v>90</v>
      </c>
      <c r="H844" s="183">
        <f>H845+H852</f>
        <v>198493.47</v>
      </c>
      <c r="I844" s="183">
        <f>I845+I852</f>
        <v>198602.83000000002</v>
      </c>
      <c r="J844" s="183">
        <f>J845+J852</f>
        <v>198758.13</v>
      </c>
      <c r="K844" s="183">
        <v>198493.47</v>
      </c>
      <c r="L844" s="183">
        <v>198602.83000000002</v>
      </c>
      <c r="M844" s="183">
        <v>198758.13</v>
      </c>
      <c r="N844" s="183"/>
      <c r="O844" s="183">
        <v>197297.32</v>
      </c>
      <c r="P844" s="183">
        <v>197406.68000000002</v>
      </c>
      <c r="Q844" s="183">
        <v>197561.98</v>
      </c>
      <c r="R844" s="472">
        <f t="shared" si="332"/>
        <v>1196.1499999999942</v>
      </c>
      <c r="S844" s="472">
        <f t="shared" si="333"/>
        <v>1196.1499999999942</v>
      </c>
      <c r="T844" s="472">
        <f t="shared" si="334"/>
        <v>1196.1499999999942</v>
      </c>
      <c r="U844" s="182" t="s">
        <v>657</v>
      </c>
      <c r="V844" s="36" t="s">
        <v>100</v>
      </c>
      <c r="W844" s="37" t="s">
        <v>112</v>
      </c>
      <c r="X844" s="37" t="s">
        <v>99</v>
      </c>
      <c r="Y844" s="37" t="s">
        <v>400</v>
      </c>
      <c r="Z844" s="37" t="s">
        <v>90</v>
      </c>
      <c r="AA844" s="12" t="b">
        <f t="shared" si="336"/>
        <v>1</v>
      </c>
      <c r="AB844" s="12" t="b">
        <f t="shared" si="337"/>
        <v>1</v>
      </c>
      <c r="AC844" s="12" t="b">
        <f t="shared" si="338"/>
        <v>1</v>
      </c>
      <c r="AD844" s="12" t="b">
        <f t="shared" si="339"/>
        <v>1</v>
      </c>
      <c r="AE844" s="12" t="b">
        <f t="shared" si="340"/>
        <v>1</v>
      </c>
      <c r="AF844" s="12" t="b">
        <f t="shared" si="341"/>
        <v>1</v>
      </c>
    </row>
    <row r="845" spans="1:32" s="12" customFormat="1" ht="15.75" customHeight="1">
      <c r="A845" s="285"/>
      <c r="B845" s="182" t="s">
        <v>923</v>
      </c>
      <c r="C845" s="36" t="s">
        <v>100</v>
      </c>
      <c r="D845" s="37" t="s">
        <v>112</v>
      </c>
      <c r="E845" s="37" t="s">
        <v>99</v>
      </c>
      <c r="F845" s="37" t="s">
        <v>401</v>
      </c>
      <c r="G845" s="37" t="s">
        <v>90</v>
      </c>
      <c r="H845" s="183">
        <f>H846+H849</f>
        <v>190914</v>
      </c>
      <c r="I845" s="183">
        <f>I846+I849</f>
        <v>191023.36000000002</v>
      </c>
      <c r="J845" s="183">
        <f>J846+J849</f>
        <v>191178.66</v>
      </c>
      <c r="K845" s="183">
        <v>190914</v>
      </c>
      <c r="L845" s="183">
        <v>191023.36000000002</v>
      </c>
      <c r="M845" s="183">
        <v>191178.66</v>
      </c>
      <c r="N845" s="183"/>
      <c r="O845" s="183">
        <v>189717.85</v>
      </c>
      <c r="P845" s="183">
        <v>189827.21000000002</v>
      </c>
      <c r="Q845" s="183">
        <v>189982.51</v>
      </c>
      <c r="R845" s="472">
        <f t="shared" si="332"/>
        <v>1196.1499999999942</v>
      </c>
      <c r="S845" s="472">
        <f t="shared" si="333"/>
        <v>1196.1499999999942</v>
      </c>
      <c r="T845" s="472">
        <f t="shared" si="334"/>
        <v>1196.1499999999942</v>
      </c>
      <c r="U845" s="182" t="s">
        <v>923</v>
      </c>
      <c r="V845" s="36" t="s">
        <v>100</v>
      </c>
      <c r="W845" s="37" t="s">
        <v>112</v>
      </c>
      <c r="X845" s="37" t="s">
        <v>99</v>
      </c>
      <c r="Y845" s="37" t="s">
        <v>401</v>
      </c>
      <c r="Z845" s="37" t="s">
        <v>90</v>
      </c>
      <c r="AA845" s="12" t="b">
        <f t="shared" si="336"/>
        <v>1</v>
      </c>
      <c r="AB845" s="12" t="b">
        <f t="shared" si="337"/>
        <v>1</v>
      </c>
      <c r="AC845" s="12" t="b">
        <f t="shared" si="338"/>
        <v>1</v>
      </c>
      <c r="AD845" s="12" t="b">
        <f t="shared" si="339"/>
        <v>1</v>
      </c>
      <c r="AE845" s="12" t="b">
        <f t="shared" si="340"/>
        <v>1</v>
      </c>
      <c r="AF845" s="12" t="b">
        <f t="shared" si="341"/>
        <v>1</v>
      </c>
    </row>
    <row r="846" spans="1:32" s="12" customFormat="1" ht="15.75" customHeight="1">
      <c r="A846" s="285"/>
      <c r="B846" s="182" t="s">
        <v>925</v>
      </c>
      <c r="C846" s="36" t="s">
        <v>100</v>
      </c>
      <c r="D846" s="37" t="s">
        <v>112</v>
      </c>
      <c r="E846" s="37" t="s">
        <v>99</v>
      </c>
      <c r="F846" s="37" t="s">
        <v>707</v>
      </c>
      <c r="G846" s="37" t="s">
        <v>90</v>
      </c>
      <c r="H846" s="183">
        <f t="shared" ref="H846:J847" si="346">H847</f>
        <v>13338.57</v>
      </c>
      <c r="I846" s="183">
        <f t="shared" si="346"/>
        <v>13338.57</v>
      </c>
      <c r="J846" s="183">
        <f t="shared" si="346"/>
        <v>13338.57</v>
      </c>
      <c r="K846" s="183">
        <v>13338.57</v>
      </c>
      <c r="L846" s="183">
        <v>13338.57</v>
      </c>
      <c r="M846" s="183">
        <v>13338.57</v>
      </c>
      <c r="N846" s="183"/>
      <c r="O846" s="183">
        <v>13338.57</v>
      </c>
      <c r="P846" s="183">
        <v>13338.57</v>
      </c>
      <c r="Q846" s="183">
        <v>13338.57</v>
      </c>
      <c r="R846" s="472">
        <f t="shared" si="332"/>
        <v>0</v>
      </c>
      <c r="S846" s="472">
        <f t="shared" si="333"/>
        <v>0</v>
      </c>
      <c r="T846" s="472">
        <f t="shared" si="334"/>
        <v>0</v>
      </c>
      <c r="U846" s="182" t="s">
        <v>925</v>
      </c>
      <c r="V846" s="36" t="s">
        <v>100</v>
      </c>
      <c r="W846" s="37" t="s">
        <v>112</v>
      </c>
      <c r="X846" s="37" t="s">
        <v>99</v>
      </c>
      <c r="Y846" s="37" t="s">
        <v>707</v>
      </c>
      <c r="Z846" s="37" t="s">
        <v>90</v>
      </c>
      <c r="AA846" s="12" t="b">
        <f t="shared" si="336"/>
        <v>1</v>
      </c>
      <c r="AB846" s="12" t="b">
        <f t="shared" si="337"/>
        <v>1</v>
      </c>
      <c r="AC846" s="12" t="b">
        <f t="shared" si="338"/>
        <v>1</v>
      </c>
      <c r="AD846" s="12" t="b">
        <f t="shared" si="339"/>
        <v>1</v>
      </c>
      <c r="AE846" s="12" t="b">
        <f t="shared" si="340"/>
        <v>1</v>
      </c>
      <c r="AF846" s="12" t="b">
        <f t="shared" si="341"/>
        <v>1</v>
      </c>
    </row>
    <row r="847" spans="1:32" s="12" customFormat="1" ht="15.75" customHeight="1">
      <c r="A847" s="285"/>
      <c r="B847" s="64" t="s">
        <v>254</v>
      </c>
      <c r="C847" s="56" t="s">
        <v>100</v>
      </c>
      <c r="D847" s="37" t="s">
        <v>112</v>
      </c>
      <c r="E847" s="37" t="s">
        <v>99</v>
      </c>
      <c r="F847" s="57" t="s">
        <v>708</v>
      </c>
      <c r="G847" s="57" t="s">
        <v>90</v>
      </c>
      <c r="H847" s="58">
        <f t="shared" si="346"/>
        <v>13338.57</v>
      </c>
      <c r="I847" s="58">
        <f t="shared" si="346"/>
        <v>13338.57</v>
      </c>
      <c r="J847" s="58">
        <f t="shared" si="346"/>
        <v>13338.57</v>
      </c>
      <c r="K847" s="58">
        <v>13338.57</v>
      </c>
      <c r="L847" s="58">
        <v>13338.57</v>
      </c>
      <c r="M847" s="58">
        <v>13338.57</v>
      </c>
      <c r="N847" s="58"/>
      <c r="O847" s="58">
        <v>13338.57</v>
      </c>
      <c r="P847" s="58">
        <v>13338.57</v>
      </c>
      <c r="Q847" s="58">
        <v>13338.57</v>
      </c>
      <c r="R847" s="472">
        <f t="shared" si="332"/>
        <v>0</v>
      </c>
      <c r="S847" s="472">
        <f t="shared" si="333"/>
        <v>0</v>
      </c>
      <c r="T847" s="472">
        <f t="shared" si="334"/>
        <v>0</v>
      </c>
      <c r="U847" s="64" t="s">
        <v>254</v>
      </c>
      <c r="V847" s="56" t="s">
        <v>100</v>
      </c>
      <c r="W847" s="37" t="s">
        <v>112</v>
      </c>
      <c r="X847" s="37" t="s">
        <v>99</v>
      </c>
      <c r="Y847" s="57" t="s">
        <v>708</v>
      </c>
      <c r="Z847" s="57" t="s">
        <v>90</v>
      </c>
      <c r="AA847" s="12" t="b">
        <f t="shared" si="336"/>
        <v>1</v>
      </c>
      <c r="AB847" s="12" t="b">
        <f t="shared" si="337"/>
        <v>1</v>
      </c>
      <c r="AC847" s="12" t="b">
        <f t="shared" si="338"/>
        <v>1</v>
      </c>
      <c r="AD847" s="12" t="b">
        <f t="shared" si="339"/>
        <v>1</v>
      </c>
      <c r="AE847" s="12" t="b">
        <f t="shared" si="340"/>
        <v>1</v>
      </c>
      <c r="AF847" s="12" t="b">
        <f t="shared" si="341"/>
        <v>1</v>
      </c>
    </row>
    <row r="848" spans="1:32" s="12" customFormat="1" ht="15.75" customHeight="1">
      <c r="A848" s="285"/>
      <c r="B848" s="23" t="s">
        <v>132</v>
      </c>
      <c r="C848" s="36" t="s">
        <v>100</v>
      </c>
      <c r="D848" s="37" t="s">
        <v>112</v>
      </c>
      <c r="E848" s="37" t="s">
        <v>99</v>
      </c>
      <c r="F848" s="37" t="s">
        <v>708</v>
      </c>
      <c r="G848" s="37" t="s">
        <v>171</v>
      </c>
      <c r="H848" s="183">
        <f>13338.57</f>
        <v>13338.57</v>
      </c>
      <c r="I848" s="183">
        <f>13338.57</f>
        <v>13338.57</v>
      </c>
      <c r="J848" s="183">
        <f>13338.57</f>
        <v>13338.57</v>
      </c>
      <c r="K848" s="183">
        <v>13338.57</v>
      </c>
      <c r="L848" s="183">
        <v>13338.57</v>
      </c>
      <c r="M848" s="183">
        <v>13338.57</v>
      </c>
      <c r="N848" s="183"/>
      <c r="O848" s="183">
        <v>13338.57</v>
      </c>
      <c r="P848" s="183">
        <v>13338.57</v>
      </c>
      <c r="Q848" s="183">
        <v>13338.57</v>
      </c>
      <c r="R848" s="472">
        <f t="shared" si="332"/>
        <v>0</v>
      </c>
      <c r="S848" s="472">
        <f t="shared" si="333"/>
        <v>0</v>
      </c>
      <c r="T848" s="472">
        <f t="shared" si="334"/>
        <v>0</v>
      </c>
      <c r="U848" s="23" t="s">
        <v>132</v>
      </c>
      <c r="V848" s="36" t="s">
        <v>100</v>
      </c>
      <c r="W848" s="37" t="s">
        <v>112</v>
      </c>
      <c r="X848" s="37" t="s">
        <v>99</v>
      </c>
      <c r="Y848" s="37" t="s">
        <v>708</v>
      </c>
      <c r="Z848" s="37" t="s">
        <v>171</v>
      </c>
      <c r="AA848" s="12" t="b">
        <f t="shared" si="336"/>
        <v>1</v>
      </c>
      <c r="AB848" s="12" t="b">
        <f t="shared" si="337"/>
        <v>1</v>
      </c>
      <c r="AC848" s="12" t="b">
        <f t="shared" si="338"/>
        <v>1</v>
      </c>
      <c r="AD848" s="12" t="b">
        <f t="shared" si="339"/>
        <v>1</v>
      </c>
      <c r="AE848" s="12" t="b">
        <f t="shared" si="340"/>
        <v>1</v>
      </c>
      <c r="AF848" s="12" t="b">
        <f t="shared" si="341"/>
        <v>1</v>
      </c>
    </row>
    <row r="849" spans="1:32" s="12" customFormat="1" ht="15.75" customHeight="1">
      <c r="A849" s="285"/>
      <c r="B849" s="68" t="s">
        <v>926</v>
      </c>
      <c r="C849" s="36" t="s">
        <v>100</v>
      </c>
      <c r="D849" s="37" t="s">
        <v>112</v>
      </c>
      <c r="E849" s="37" t="s">
        <v>99</v>
      </c>
      <c r="F849" s="37" t="s">
        <v>890</v>
      </c>
      <c r="G849" s="37" t="s">
        <v>90</v>
      </c>
      <c r="H849" s="183">
        <f t="shared" ref="H849:J849" si="347">H850</f>
        <v>177575.43</v>
      </c>
      <c r="I849" s="183">
        <f t="shared" si="347"/>
        <v>177684.79</v>
      </c>
      <c r="J849" s="183">
        <f t="shared" si="347"/>
        <v>177840.09</v>
      </c>
      <c r="K849" s="183">
        <v>177575.43</v>
      </c>
      <c r="L849" s="183">
        <v>177684.79</v>
      </c>
      <c r="M849" s="183">
        <v>177840.09</v>
      </c>
      <c r="N849" s="183"/>
      <c r="O849" s="183">
        <v>176379.28</v>
      </c>
      <c r="P849" s="183">
        <v>176488.64</v>
      </c>
      <c r="Q849" s="183">
        <v>176643.94</v>
      </c>
      <c r="R849" s="472">
        <f t="shared" si="332"/>
        <v>1196.1499999999942</v>
      </c>
      <c r="S849" s="472">
        <f t="shared" si="333"/>
        <v>1196.1499999999942</v>
      </c>
      <c r="T849" s="472">
        <f t="shared" si="334"/>
        <v>1196.1499999999942</v>
      </c>
      <c r="U849" s="68" t="s">
        <v>926</v>
      </c>
      <c r="V849" s="36" t="s">
        <v>100</v>
      </c>
      <c r="W849" s="37" t="s">
        <v>112</v>
      </c>
      <c r="X849" s="37" t="s">
        <v>99</v>
      </c>
      <c r="Y849" s="37" t="s">
        <v>890</v>
      </c>
      <c r="Z849" s="37" t="s">
        <v>90</v>
      </c>
      <c r="AA849" s="12" t="b">
        <f t="shared" si="336"/>
        <v>1</v>
      </c>
      <c r="AB849" s="12" t="b">
        <f t="shared" si="337"/>
        <v>1</v>
      </c>
      <c r="AC849" s="12" t="b">
        <f t="shared" si="338"/>
        <v>1</v>
      </c>
      <c r="AD849" s="12" t="b">
        <f t="shared" si="339"/>
        <v>1</v>
      </c>
      <c r="AE849" s="12" t="b">
        <f t="shared" si="340"/>
        <v>1</v>
      </c>
      <c r="AF849" s="12" t="b">
        <f t="shared" si="341"/>
        <v>1</v>
      </c>
    </row>
    <row r="850" spans="1:32" s="12" customFormat="1" ht="15.75" customHeight="1">
      <c r="A850" s="285"/>
      <c r="B850" s="68" t="s">
        <v>254</v>
      </c>
      <c r="C850" s="56" t="s">
        <v>100</v>
      </c>
      <c r="D850" s="37" t="s">
        <v>112</v>
      </c>
      <c r="E850" s="37" t="s">
        <v>99</v>
      </c>
      <c r="F850" s="57" t="s">
        <v>889</v>
      </c>
      <c r="G850" s="57" t="s">
        <v>90</v>
      </c>
      <c r="H850" s="58">
        <f t="shared" ref="H850:J850" si="348">H851</f>
        <v>177575.43</v>
      </c>
      <c r="I850" s="58">
        <f t="shared" si="348"/>
        <v>177684.79</v>
      </c>
      <c r="J850" s="58">
        <f t="shared" si="348"/>
        <v>177840.09</v>
      </c>
      <c r="K850" s="58">
        <v>177575.43</v>
      </c>
      <c r="L850" s="58">
        <v>177684.79</v>
      </c>
      <c r="M850" s="58">
        <v>177840.09</v>
      </c>
      <c r="N850" s="58"/>
      <c r="O850" s="58">
        <v>176379.28</v>
      </c>
      <c r="P850" s="58">
        <v>176488.64</v>
      </c>
      <c r="Q850" s="58">
        <v>176643.94</v>
      </c>
      <c r="R850" s="472">
        <f t="shared" si="332"/>
        <v>1196.1499999999942</v>
      </c>
      <c r="S850" s="472">
        <f t="shared" si="333"/>
        <v>1196.1499999999942</v>
      </c>
      <c r="T850" s="472">
        <f t="shared" si="334"/>
        <v>1196.1499999999942</v>
      </c>
      <c r="U850" s="68" t="s">
        <v>254</v>
      </c>
      <c r="V850" s="56" t="s">
        <v>100</v>
      </c>
      <c r="W850" s="37" t="s">
        <v>112</v>
      </c>
      <c r="X850" s="37" t="s">
        <v>99</v>
      </c>
      <c r="Y850" s="57" t="s">
        <v>889</v>
      </c>
      <c r="Z850" s="57" t="s">
        <v>90</v>
      </c>
      <c r="AA850" s="12" t="b">
        <f t="shared" si="336"/>
        <v>1</v>
      </c>
      <c r="AB850" s="12" t="b">
        <f t="shared" si="337"/>
        <v>1</v>
      </c>
      <c r="AC850" s="12" t="b">
        <f t="shared" si="338"/>
        <v>1</v>
      </c>
      <c r="AD850" s="12" t="b">
        <f t="shared" si="339"/>
        <v>1</v>
      </c>
      <c r="AE850" s="12" t="b">
        <f t="shared" si="340"/>
        <v>1</v>
      </c>
      <c r="AF850" s="12" t="b">
        <f t="shared" si="341"/>
        <v>1</v>
      </c>
    </row>
    <row r="851" spans="1:32" s="12" customFormat="1" ht="15.75" customHeight="1">
      <c r="A851" s="285"/>
      <c r="B851" s="23" t="s">
        <v>132</v>
      </c>
      <c r="C851" s="36" t="s">
        <v>100</v>
      </c>
      <c r="D851" s="37" t="s">
        <v>112</v>
      </c>
      <c r="E851" s="37" t="s">
        <v>99</v>
      </c>
      <c r="F851" s="37" t="s">
        <v>889</v>
      </c>
      <c r="G851" s="37" t="s">
        <v>171</v>
      </c>
      <c r="H851" s="183">
        <f>176364.28+15+1196.15</f>
        <v>177575.43</v>
      </c>
      <c r="I851" s="183">
        <f>176488.64+1196.15</f>
        <v>177684.79</v>
      </c>
      <c r="J851" s="183">
        <f>176643.94+1196.15</f>
        <v>177840.09</v>
      </c>
      <c r="K851" s="183">
        <v>177575.43</v>
      </c>
      <c r="L851" s="183">
        <v>177684.79</v>
      </c>
      <c r="M851" s="183">
        <v>177840.09</v>
      </c>
      <c r="N851" s="183"/>
      <c r="O851" s="183">
        <v>176379.28</v>
      </c>
      <c r="P851" s="183">
        <v>176488.64</v>
      </c>
      <c r="Q851" s="183">
        <v>176643.94</v>
      </c>
      <c r="R851" s="472">
        <f t="shared" si="332"/>
        <v>1196.1499999999942</v>
      </c>
      <c r="S851" s="472">
        <f t="shared" si="333"/>
        <v>1196.1499999999942</v>
      </c>
      <c r="T851" s="472">
        <f t="shared" si="334"/>
        <v>1196.1499999999942</v>
      </c>
      <c r="U851" s="23" t="s">
        <v>132</v>
      </c>
      <c r="V851" s="36" t="s">
        <v>100</v>
      </c>
      <c r="W851" s="37" t="s">
        <v>112</v>
      </c>
      <c r="X851" s="37" t="s">
        <v>99</v>
      </c>
      <c r="Y851" s="37" t="s">
        <v>889</v>
      </c>
      <c r="Z851" s="37" t="s">
        <v>171</v>
      </c>
      <c r="AA851" s="12" t="b">
        <f t="shared" si="336"/>
        <v>1</v>
      </c>
      <c r="AB851" s="12" t="b">
        <f t="shared" si="337"/>
        <v>1</v>
      </c>
      <c r="AC851" s="12" t="b">
        <f t="shared" si="338"/>
        <v>1</v>
      </c>
      <c r="AD851" s="12" t="b">
        <f t="shared" si="339"/>
        <v>1</v>
      </c>
      <c r="AE851" s="12" t="b">
        <f t="shared" si="340"/>
        <v>1</v>
      </c>
      <c r="AF851" s="12" t="b">
        <f t="shared" si="341"/>
        <v>1</v>
      </c>
    </row>
    <row r="852" spans="1:32" s="12" customFormat="1" ht="15.75" customHeight="1">
      <c r="A852" s="285"/>
      <c r="B852" s="182" t="s">
        <v>927</v>
      </c>
      <c r="C852" s="36" t="s">
        <v>100</v>
      </c>
      <c r="D852" s="37" t="s">
        <v>112</v>
      </c>
      <c r="E852" s="37" t="s">
        <v>99</v>
      </c>
      <c r="F852" s="37" t="s">
        <v>418</v>
      </c>
      <c r="G852" s="37" t="s">
        <v>90</v>
      </c>
      <c r="H852" s="183">
        <f>H853+H857+H860</f>
        <v>7579.4699999999993</v>
      </c>
      <c r="I852" s="183">
        <f>I853+I857+I860</f>
        <v>7579.4699999999993</v>
      </c>
      <c r="J852" s="183">
        <f>J853+J857+J860</f>
        <v>7579.4699999999993</v>
      </c>
      <c r="K852" s="183">
        <v>7579.4699999999993</v>
      </c>
      <c r="L852" s="183">
        <v>7579.4699999999993</v>
      </c>
      <c r="M852" s="183">
        <v>7579.4699999999993</v>
      </c>
      <c r="N852" s="183"/>
      <c r="O852" s="183">
        <v>7579.4699999999993</v>
      </c>
      <c r="P852" s="183">
        <v>7579.4699999999993</v>
      </c>
      <c r="Q852" s="183">
        <v>7579.4699999999993</v>
      </c>
      <c r="R852" s="472">
        <f t="shared" si="332"/>
        <v>0</v>
      </c>
      <c r="S852" s="472">
        <f t="shared" si="333"/>
        <v>0</v>
      </c>
      <c r="T852" s="472">
        <f t="shared" si="334"/>
        <v>0</v>
      </c>
      <c r="U852" s="182" t="s">
        <v>927</v>
      </c>
      <c r="V852" s="36" t="s">
        <v>100</v>
      </c>
      <c r="W852" s="37" t="s">
        <v>112</v>
      </c>
      <c r="X852" s="37" t="s">
        <v>99</v>
      </c>
      <c r="Y852" s="37" t="s">
        <v>418</v>
      </c>
      <c r="Z852" s="37" t="s">
        <v>90</v>
      </c>
      <c r="AA852" s="12" t="b">
        <f t="shared" si="336"/>
        <v>1</v>
      </c>
      <c r="AB852" s="12" t="b">
        <f t="shared" si="337"/>
        <v>1</v>
      </c>
      <c r="AC852" s="12" t="b">
        <f t="shared" si="338"/>
        <v>1</v>
      </c>
      <c r="AD852" s="12" t="b">
        <f t="shared" si="339"/>
        <v>1</v>
      </c>
      <c r="AE852" s="12" t="b">
        <f t="shared" si="340"/>
        <v>1</v>
      </c>
      <c r="AF852" s="12" t="b">
        <f t="shared" si="341"/>
        <v>1</v>
      </c>
    </row>
    <row r="853" spans="1:32" s="12" customFormat="1" ht="15.75" customHeight="1">
      <c r="A853" s="285"/>
      <c r="B853" s="182" t="s">
        <v>534</v>
      </c>
      <c r="C853" s="36" t="s">
        <v>100</v>
      </c>
      <c r="D853" s="37" t="s">
        <v>112</v>
      </c>
      <c r="E853" s="37" t="s">
        <v>99</v>
      </c>
      <c r="F853" s="37" t="s">
        <v>419</v>
      </c>
      <c r="G853" s="37" t="s">
        <v>90</v>
      </c>
      <c r="H853" s="183">
        <f>H854</f>
        <v>7013.7199999999993</v>
      </c>
      <c r="I853" s="183">
        <f>I854</f>
        <v>7013.7199999999993</v>
      </c>
      <c r="J853" s="183">
        <f>J854</f>
        <v>7013.7199999999993</v>
      </c>
      <c r="K853" s="183">
        <v>7013.7199999999993</v>
      </c>
      <c r="L853" s="183">
        <v>7013.7199999999993</v>
      </c>
      <c r="M853" s="183">
        <v>7013.7199999999993</v>
      </c>
      <c r="N853" s="183"/>
      <c r="O853" s="183">
        <v>7013.7199999999993</v>
      </c>
      <c r="P853" s="183">
        <v>7013.7199999999993</v>
      </c>
      <c r="Q853" s="183">
        <v>7013.7199999999993</v>
      </c>
      <c r="R853" s="472">
        <f t="shared" si="332"/>
        <v>0</v>
      </c>
      <c r="S853" s="472">
        <f t="shared" si="333"/>
        <v>0</v>
      </c>
      <c r="T853" s="472">
        <f t="shared" si="334"/>
        <v>0</v>
      </c>
      <c r="U853" s="182" t="s">
        <v>534</v>
      </c>
      <c r="V853" s="36" t="s">
        <v>100</v>
      </c>
      <c r="W853" s="37" t="s">
        <v>112</v>
      </c>
      <c r="X853" s="37" t="s">
        <v>99</v>
      </c>
      <c r="Y853" s="37" t="s">
        <v>419</v>
      </c>
      <c r="Z853" s="37" t="s">
        <v>90</v>
      </c>
      <c r="AA853" s="12" t="b">
        <f t="shared" si="336"/>
        <v>1</v>
      </c>
      <c r="AB853" s="12" t="b">
        <f t="shared" si="337"/>
        <v>1</v>
      </c>
      <c r="AC853" s="12" t="b">
        <f t="shared" si="338"/>
        <v>1</v>
      </c>
      <c r="AD853" s="12" t="b">
        <f t="shared" si="339"/>
        <v>1</v>
      </c>
      <c r="AE853" s="12" t="b">
        <f t="shared" si="340"/>
        <v>1</v>
      </c>
      <c r="AF853" s="12" t="b">
        <f t="shared" si="341"/>
        <v>1</v>
      </c>
    </row>
    <row r="854" spans="1:32" s="12" customFormat="1" ht="15.75" customHeight="1">
      <c r="A854" s="285"/>
      <c r="B854" s="182" t="s">
        <v>190</v>
      </c>
      <c r="C854" s="36" t="s">
        <v>100</v>
      </c>
      <c r="D854" s="37" t="s">
        <v>112</v>
      </c>
      <c r="E854" s="37" t="s">
        <v>99</v>
      </c>
      <c r="F854" s="37" t="s">
        <v>420</v>
      </c>
      <c r="G854" s="37" t="s">
        <v>90</v>
      </c>
      <c r="H854" s="183">
        <f>H856+H855</f>
        <v>7013.7199999999993</v>
      </c>
      <c r="I854" s="183">
        <f>I856+I855</f>
        <v>7013.7199999999993</v>
      </c>
      <c r="J854" s="183">
        <f>J856+J855</f>
        <v>7013.7199999999993</v>
      </c>
      <c r="K854" s="183">
        <v>7013.7199999999993</v>
      </c>
      <c r="L854" s="183">
        <v>7013.7199999999993</v>
      </c>
      <c r="M854" s="183">
        <v>7013.7199999999993</v>
      </c>
      <c r="N854" s="183"/>
      <c r="O854" s="183">
        <v>7013.7199999999993</v>
      </c>
      <c r="P854" s="183">
        <v>7013.7199999999993</v>
      </c>
      <c r="Q854" s="183">
        <v>7013.7199999999993</v>
      </c>
      <c r="R854" s="472">
        <f t="shared" si="332"/>
        <v>0</v>
      </c>
      <c r="S854" s="472">
        <f t="shared" si="333"/>
        <v>0</v>
      </c>
      <c r="T854" s="472">
        <f t="shared" si="334"/>
        <v>0</v>
      </c>
      <c r="U854" s="182" t="s">
        <v>190</v>
      </c>
      <c r="V854" s="36" t="s">
        <v>100</v>
      </c>
      <c r="W854" s="37" t="s">
        <v>112</v>
      </c>
      <c r="X854" s="37" t="s">
        <v>99</v>
      </c>
      <c r="Y854" s="37" t="s">
        <v>420</v>
      </c>
      <c r="Z854" s="37" t="s">
        <v>90</v>
      </c>
      <c r="AA854" s="12" t="b">
        <f t="shared" si="336"/>
        <v>1</v>
      </c>
      <c r="AB854" s="12" t="b">
        <f t="shared" si="337"/>
        <v>1</v>
      </c>
      <c r="AC854" s="12" t="b">
        <f t="shared" si="338"/>
        <v>1</v>
      </c>
      <c r="AD854" s="12" t="b">
        <f t="shared" si="339"/>
        <v>1</v>
      </c>
      <c r="AE854" s="12" t="b">
        <f t="shared" si="340"/>
        <v>1</v>
      </c>
      <c r="AF854" s="12" t="b">
        <f t="shared" si="341"/>
        <v>1</v>
      </c>
    </row>
    <row r="855" spans="1:32" s="12" customFormat="1" ht="15.75" customHeight="1">
      <c r="A855" s="285"/>
      <c r="B855" s="182" t="s">
        <v>143</v>
      </c>
      <c r="C855" s="36" t="s">
        <v>100</v>
      </c>
      <c r="D855" s="37" t="s">
        <v>112</v>
      </c>
      <c r="E855" s="37" t="s">
        <v>99</v>
      </c>
      <c r="F855" s="37" t="s">
        <v>420</v>
      </c>
      <c r="G855" s="37" t="s">
        <v>157</v>
      </c>
      <c r="H855" s="183">
        <f>3904.89+1092.83</f>
        <v>4997.7199999999993</v>
      </c>
      <c r="I855" s="183">
        <f>3904.89+1092.83</f>
        <v>4997.7199999999993</v>
      </c>
      <c r="J855" s="183">
        <f>3904.89+1092.83</f>
        <v>4997.7199999999993</v>
      </c>
      <c r="K855" s="183">
        <v>4997.7199999999993</v>
      </c>
      <c r="L855" s="183">
        <v>4997.7199999999993</v>
      </c>
      <c r="M855" s="183">
        <v>4997.7199999999993</v>
      </c>
      <c r="N855" s="183"/>
      <c r="O855" s="183">
        <v>4997.7199999999993</v>
      </c>
      <c r="P855" s="183">
        <v>4997.7199999999993</v>
      </c>
      <c r="Q855" s="183">
        <v>4997.7199999999993</v>
      </c>
      <c r="R855" s="472">
        <f t="shared" si="332"/>
        <v>0</v>
      </c>
      <c r="S855" s="472">
        <f t="shared" si="333"/>
        <v>0</v>
      </c>
      <c r="T855" s="472">
        <f t="shared" si="334"/>
        <v>0</v>
      </c>
      <c r="U855" s="182" t="s">
        <v>143</v>
      </c>
      <c r="V855" s="36" t="s">
        <v>100</v>
      </c>
      <c r="W855" s="37" t="s">
        <v>112</v>
      </c>
      <c r="X855" s="37" t="s">
        <v>99</v>
      </c>
      <c r="Y855" s="37" t="s">
        <v>420</v>
      </c>
      <c r="Z855" s="37" t="s">
        <v>157</v>
      </c>
      <c r="AA855" s="12" t="b">
        <f t="shared" si="336"/>
        <v>1</v>
      </c>
      <c r="AB855" s="12" t="b">
        <f t="shared" si="337"/>
        <v>1</v>
      </c>
      <c r="AC855" s="12" t="b">
        <f t="shared" si="338"/>
        <v>1</v>
      </c>
      <c r="AD855" s="12" t="b">
        <f t="shared" si="339"/>
        <v>1</v>
      </c>
      <c r="AE855" s="12" t="b">
        <f t="shared" si="340"/>
        <v>1</v>
      </c>
      <c r="AF855" s="12" t="b">
        <f t="shared" si="341"/>
        <v>1</v>
      </c>
    </row>
    <row r="856" spans="1:32" s="12" customFormat="1" ht="15.75" customHeight="1">
      <c r="A856" s="285"/>
      <c r="B856" s="182" t="s">
        <v>145</v>
      </c>
      <c r="C856" s="36" t="s">
        <v>100</v>
      </c>
      <c r="D856" s="37" t="s">
        <v>112</v>
      </c>
      <c r="E856" s="37" t="s">
        <v>99</v>
      </c>
      <c r="F856" s="37" t="s">
        <v>420</v>
      </c>
      <c r="G856" s="37" t="s">
        <v>153</v>
      </c>
      <c r="H856" s="183">
        <f>2000+16</f>
        <v>2016</v>
      </c>
      <c r="I856" s="183">
        <f>2000+16</f>
        <v>2016</v>
      </c>
      <c r="J856" s="183">
        <f>2000+16</f>
        <v>2016</v>
      </c>
      <c r="K856" s="183">
        <v>2016</v>
      </c>
      <c r="L856" s="183">
        <v>2016</v>
      </c>
      <c r="M856" s="183">
        <v>2016</v>
      </c>
      <c r="N856" s="183"/>
      <c r="O856" s="183">
        <v>2016</v>
      </c>
      <c r="P856" s="183">
        <v>2016</v>
      </c>
      <c r="Q856" s="183">
        <v>2016</v>
      </c>
      <c r="R856" s="472">
        <f t="shared" si="332"/>
        <v>0</v>
      </c>
      <c r="S856" s="472">
        <f t="shared" si="333"/>
        <v>0</v>
      </c>
      <c r="T856" s="472">
        <f t="shared" si="334"/>
        <v>0</v>
      </c>
      <c r="U856" s="182" t="s">
        <v>145</v>
      </c>
      <c r="V856" s="36" t="s">
        <v>100</v>
      </c>
      <c r="W856" s="37" t="s">
        <v>112</v>
      </c>
      <c r="X856" s="37" t="s">
        <v>99</v>
      </c>
      <c r="Y856" s="37" t="s">
        <v>420</v>
      </c>
      <c r="Z856" s="37" t="s">
        <v>153</v>
      </c>
      <c r="AA856" s="12" t="b">
        <f t="shared" si="336"/>
        <v>1</v>
      </c>
      <c r="AB856" s="12" t="b">
        <f t="shared" si="337"/>
        <v>1</v>
      </c>
      <c r="AC856" s="12" t="b">
        <f t="shared" si="338"/>
        <v>1</v>
      </c>
      <c r="AD856" s="12" t="b">
        <f t="shared" si="339"/>
        <v>1</v>
      </c>
      <c r="AE856" s="12" t="b">
        <f t="shared" si="340"/>
        <v>1</v>
      </c>
      <c r="AF856" s="12" t="b">
        <f t="shared" si="341"/>
        <v>1</v>
      </c>
    </row>
    <row r="857" spans="1:32" s="12" customFormat="1" ht="15.75" customHeight="1">
      <c r="A857" s="285"/>
      <c r="B857" s="23" t="s">
        <v>928</v>
      </c>
      <c r="C857" s="36" t="s">
        <v>100</v>
      </c>
      <c r="D857" s="37" t="s">
        <v>112</v>
      </c>
      <c r="E857" s="37" t="s">
        <v>99</v>
      </c>
      <c r="F857" s="37" t="s">
        <v>709</v>
      </c>
      <c r="G857" s="37" t="s">
        <v>90</v>
      </c>
      <c r="H857" s="183">
        <f t="shared" ref="H857:J858" si="349">H858</f>
        <v>509.5</v>
      </c>
      <c r="I857" s="183">
        <f t="shared" si="349"/>
        <v>509.5</v>
      </c>
      <c r="J857" s="183">
        <f t="shared" si="349"/>
        <v>509.5</v>
      </c>
      <c r="K857" s="183">
        <v>509.5</v>
      </c>
      <c r="L857" s="183">
        <v>509.5</v>
      </c>
      <c r="M857" s="183">
        <v>509.5</v>
      </c>
      <c r="N857" s="183"/>
      <c r="O857" s="183">
        <v>509.5</v>
      </c>
      <c r="P857" s="183">
        <v>509.5</v>
      </c>
      <c r="Q857" s="183">
        <v>509.5</v>
      </c>
      <c r="R857" s="472">
        <f t="shared" ref="R857:R924" si="350">H857-O857</f>
        <v>0</v>
      </c>
      <c r="S857" s="472">
        <f t="shared" ref="S857:S924" si="351">I857-P857</f>
        <v>0</v>
      </c>
      <c r="T857" s="472">
        <f t="shared" ref="T857:T924" si="352">J857-Q857</f>
        <v>0</v>
      </c>
      <c r="U857" s="23" t="s">
        <v>928</v>
      </c>
      <c r="V857" s="36" t="s">
        <v>100</v>
      </c>
      <c r="W857" s="37" t="s">
        <v>112</v>
      </c>
      <c r="X857" s="37" t="s">
        <v>99</v>
      </c>
      <c r="Y857" s="37" t="s">
        <v>709</v>
      </c>
      <c r="Z857" s="37" t="s">
        <v>90</v>
      </c>
      <c r="AA857" s="12" t="b">
        <f t="shared" si="336"/>
        <v>1</v>
      </c>
      <c r="AB857" s="12" t="b">
        <f t="shared" si="337"/>
        <v>1</v>
      </c>
      <c r="AC857" s="12" t="b">
        <f t="shared" si="338"/>
        <v>1</v>
      </c>
      <c r="AD857" s="12" t="b">
        <f t="shared" si="339"/>
        <v>1</v>
      </c>
      <c r="AE857" s="12" t="b">
        <f t="shared" si="340"/>
        <v>1</v>
      </c>
      <c r="AF857" s="12" t="b">
        <f t="shared" si="341"/>
        <v>1</v>
      </c>
    </row>
    <row r="858" spans="1:32" s="12" customFormat="1" ht="15.75" customHeight="1">
      <c r="A858" s="285"/>
      <c r="B858" s="22" t="s">
        <v>754</v>
      </c>
      <c r="C858" s="36" t="s">
        <v>100</v>
      </c>
      <c r="D858" s="37" t="s">
        <v>112</v>
      </c>
      <c r="E858" s="37" t="s">
        <v>99</v>
      </c>
      <c r="F858" s="37" t="s">
        <v>710</v>
      </c>
      <c r="G858" s="37" t="s">
        <v>90</v>
      </c>
      <c r="H858" s="183">
        <f t="shared" si="349"/>
        <v>509.5</v>
      </c>
      <c r="I858" s="183">
        <f t="shared" si="349"/>
        <v>509.5</v>
      </c>
      <c r="J858" s="183">
        <f t="shared" si="349"/>
        <v>509.5</v>
      </c>
      <c r="K858" s="183">
        <v>509.5</v>
      </c>
      <c r="L858" s="183">
        <v>509.5</v>
      </c>
      <c r="M858" s="183">
        <v>509.5</v>
      </c>
      <c r="N858" s="183"/>
      <c r="O858" s="183">
        <v>509.5</v>
      </c>
      <c r="P858" s="183">
        <v>509.5</v>
      </c>
      <c r="Q858" s="183">
        <v>509.5</v>
      </c>
      <c r="R858" s="472">
        <f t="shared" si="350"/>
        <v>0</v>
      </c>
      <c r="S858" s="472">
        <f t="shared" si="351"/>
        <v>0</v>
      </c>
      <c r="T858" s="472">
        <f t="shared" si="352"/>
        <v>0</v>
      </c>
      <c r="U858" s="22" t="s">
        <v>754</v>
      </c>
      <c r="V858" s="36" t="s">
        <v>100</v>
      </c>
      <c r="W858" s="37" t="s">
        <v>112</v>
      </c>
      <c r="X858" s="37" t="s">
        <v>99</v>
      </c>
      <c r="Y858" s="37" t="s">
        <v>710</v>
      </c>
      <c r="Z858" s="37" t="s">
        <v>90</v>
      </c>
      <c r="AA858" s="12" t="b">
        <f t="shared" si="336"/>
        <v>1</v>
      </c>
      <c r="AB858" s="12" t="b">
        <f t="shared" si="337"/>
        <v>1</v>
      </c>
      <c r="AC858" s="12" t="b">
        <f t="shared" si="338"/>
        <v>1</v>
      </c>
      <c r="AD858" s="12" t="b">
        <f t="shared" si="339"/>
        <v>1</v>
      </c>
      <c r="AE858" s="12" t="b">
        <f t="shared" si="340"/>
        <v>1</v>
      </c>
      <c r="AF858" s="12" t="b">
        <f t="shared" si="341"/>
        <v>1</v>
      </c>
    </row>
    <row r="859" spans="1:32" s="12" customFormat="1" ht="15.75" customHeight="1">
      <c r="A859" s="285"/>
      <c r="B859" s="182" t="s">
        <v>145</v>
      </c>
      <c r="C859" s="36" t="s">
        <v>100</v>
      </c>
      <c r="D859" s="37" t="s">
        <v>112</v>
      </c>
      <c r="E859" s="37" t="s">
        <v>99</v>
      </c>
      <c r="F859" s="37" t="s">
        <v>710</v>
      </c>
      <c r="G859" s="37" t="s">
        <v>153</v>
      </c>
      <c r="H859" s="183">
        <v>509.5</v>
      </c>
      <c r="I859" s="183">
        <v>509.5</v>
      </c>
      <c r="J859" s="183">
        <v>509.5</v>
      </c>
      <c r="K859" s="183">
        <v>509.5</v>
      </c>
      <c r="L859" s="183">
        <v>509.5</v>
      </c>
      <c r="M859" s="183">
        <v>509.5</v>
      </c>
      <c r="N859" s="183"/>
      <c r="O859" s="183">
        <v>509.5</v>
      </c>
      <c r="P859" s="183">
        <v>509.5</v>
      </c>
      <c r="Q859" s="183">
        <v>509.5</v>
      </c>
      <c r="R859" s="472">
        <f t="shared" si="350"/>
        <v>0</v>
      </c>
      <c r="S859" s="472">
        <f t="shared" si="351"/>
        <v>0</v>
      </c>
      <c r="T859" s="472">
        <f t="shared" si="352"/>
        <v>0</v>
      </c>
      <c r="U859" s="182" t="s">
        <v>145</v>
      </c>
      <c r="V859" s="36" t="s">
        <v>100</v>
      </c>
      <c r="W859" s="37" t="s">
        <v>112</v>
      </c>
      <c r="X859" s="37" t="s">
        <v>99</v>
      </c>
      <c r="Y859" s="37" t="s">
        <v>710</v>
      </c>
      <c r="Z859" s="37" t="s">
        <v>153</v>
      </c>
      <c r="AA859" s="12" t="b">
        <f t="shared" si="336"/>
        <v>1</v>
      </c>
      <c r="AB859" s="12" t="b">
        <f t="shared" si="337"/>
        <v>1</v>
      </c>
      <c r="AC859" s="12" t="b">
        <f t="shared" si="338"/>
        <v>1</v>
      </c>
      <c r="AD859" s="12" t="b">
        <f t="shared" si="339"/>
        <v>1</v>
      </c>
      <c r="AE859" s="12" t="b">
        <f t="shared" si="340"/>
        <v>1</v>
      </c>
      <c r="AF859" s="12" t="b">
        <f t="shared" si="341"/>
        <v>1</v>
      </c>
    </row>
    <row r="860" spans="1:32" s="12" customFormat="1" ht="15.75" customHeight="1">
      <c r="A860" s="285"/>
      <c r="B860" s="65" t="s">
        <v>711</v>
      </c>
      <c r="C860" s="36" t="s">
        <v>100</v>
      </c>
      <c r="D860" s="37" t="s">
        <v>112</v>
      </c>
      <c r="E860" s="37" t="s">
        <v>99</v>
      </c>
      <c r="F860" s="37" t="s">
        <v>712</v>
      </c>
      <c r="G860" s="37" t="s">
        <v>90</v>
      </c>
      <c r="H860" s="183">
        <f t="shared" ref="H860:J861" si="353">H861</f>
        <v>56.25</v>
      </c>
      <c r="I860" s="183">
        <f t="shared" si="353"/>
        <v>56.25</v>
      </c>
      <c r="J860" s="183">
        <f t="shared" si="353"/>
        <v>56.25</v>
      </c>
      <c r="K860" s="183">
        <v>56.25</v>
      </c>
      <c r="L860" s="183">
        <v>56.25</v>
      </c>
      <c r="M860" s="183">
        <v>56.25</v>
      </c>
      <c r="N860" s="183"/>
      <c r="O860" s="183">
        <v>56.25</v>
      </c>
      <c r="P860" s="183">
        <v>56.25</v>
      </c>
      <c r="Q860" s="183">
        <v>56.25</v>
      </c>
      <c r="R860" s="472">
        <f t="shared" si="350"/>
        <v>0</v>
      </c>
      <c r="S860" s="472">
        <f t="shared" si="351"/>
        <v>0</v>
      </c>
      <c r="T860" s="472">
        <f t="shared" si="352"/>
        <v>0</v>
      </c>
      <c r="U860" s="65" t="s">
        <v>711</v>
      </c>
      <c r="V860" s="36" t="s">
        <v>100</v>
      </c>
      <c r="W860" s="37" t="s">
        <v>112</v>
      </c>
      <c r="X860" s="37" t="s">
        <v>99</v>
      </c>
      <c r="Y860" s="37" t="s">
        <v>712</v>
      </c>
      <c r="Z860" s="37" t="s">
        <v>90</v>
      </c>
      <c r="AA860" s="12" t="b">
        <f t="shared" si="336"/>
        <v>1</v>
      </c>
      <c r="AB860" s="12" t="b">
        <f t="shared" si="337"/>
        <v>1</v>
      </c>
      <c r="AC860" s="12" t="b">
        <f t="shared" si="338"/>
        <v>1</v>
      </c>
      <c r="AD860" s="12" t="b">
        <f t="shared" si="339"/>
        <v>1</v>
      </c>
      <c r="AE860" s="12" t="b">
        <f t="shared" si="340"/>
        <v>1</v>
      </c>
      <c r="AF860" s="12" t="b">
        <f t="shared" si="341"/>
        <v>1</v>
      </c>
    </row>
    <row r="861" spans="1:32" s="12" customFormat="1" ht="15.75" customHeight="1">
      <c r="A861" s="285"/>
      <c r="B861" s="22" t="s">
        <v>755</v>
      </c>
      <c r="C861" s="36" t="s">
        <v>100</v>
      </c>
      <c r="D861" s="37" t="s">
        <v>112</v>
      </c>
      <c r="E861" s="37" t="s">
        <v>99</v>
      </c>
      <c r="F861" s="37" t="s">
        <v>770</v>
      </c>
      <c r="G861" s="37" t="s">
        <v>90</v>
      </c>
      <c r="H861" s="183">
        <f t="shared" si="353"/>
        <v>56.25</v>
      </c>
      <c r="I861" s="183">
        <f t="shared" si="353"/>
        <v>56.25</v>
      </c>
      <c r="J861" s="183">
        <f t="shared" si="353"/>
        <v>56.25</v>
      </c>
      <c r="K861" s="183">
        <v>56.25</v>
      </c>
      <c r="L861" s="183">
        <v>56.25</v>
      </c>
      <c r="M861" s="183">
        <v>56.25</v>
      </c>
      <c r="N861" s="183"/>
      <c r="O861" s="183">
        <v>56.25</v>
      </c>
      <c r="P861" s="183">
        <v>56.25</v>
      </c>
      <c r="Q861" s="183">
        <v>56.25</v>
      </c>
      <c r="R861" s="472">
        <f t="shared" si="350"/>
        <v>0</v>
      </c>
      <c r="S861" s="472">
        <f t="shared" si="351"/>
        <v>0</v>
      </c>
      <c r="T861" s="472">
        <f t="shared" si="352"/>
        <v>0</v>
      </c>
      <c r="U861" s="22" t="s">
        <v>755</v>
      </c>
      <c r="V861" s="36" t="s">
        <v>100</v>
      </c>
      <c r="W861" s="37" t="s">
        <v>112</v>
      </c>
      <c r="X861" s="37" t="s">
        <v>99</v>
      </c>
      <c r="Y861" s="37" t="s">
        <v>770</v>
      </c>
      <c r="Z861" s="37" t="s">
        <v>90</v>
      </c>
      <c r="AA861" s="12" t="b">
        <f t="shared" si="336"/>
        <v>1</v>
      </c>
      <c r="AB861" s="12" t="b">
        <f t="shared" si="337"/>
        <v>1</v>
      </c>
      <c r="AC861" s="12" t="b">
        <f t="shared" si="338"/>
        <v>1</v>
      </c>
      <c r="AD861" s="12" t="b">
        <f t="shared" si="339"/>
        <v>1</v>
      </c>
      <c r="AE861" s="12" t="b">
        <f t="shared" si="340"/>
        <v>1</v>
      </c>
      <c r="AF861" s="12" t="b">
        <f t="shared" si="341"/>
        <v>1</v>
      </c>
    </row>
    <row r="862" spans="1:32" s="12" customFormat="1" ht="15.75" customHeight="1">
      <c r="A862" s="285"/>
      <c r="B862" s="182" t="s">
        <v>145</v>
      </c>
      <c r="C862" s="36" t="s">
        <v>100</v>
      </c>
      <c r="D862" s="37" t="s">
        <v>112</v>
      </c>
      <c r="E862" s="37" t="s">
        <v>99</v>
      </c>
      <c r="F862" s="37" t="s">
        <v>770</v>
      </c>
      <c r="G862" s="37" t="s">
        <v>153</v>
      </c>
      <c r="H862" s="183">
        <v>56.25</v>
      </c>
      <c r="I862" s="183">
        <v>56.25</v>
      </c>
      <c r="J862" s="183">
        <v>56.25</v>
      </c>
      <c r="K862" s="183">
        <v>56.25</v>
      </c>
      <c r="L862" s="183">
        <v>56.25</v>
      </c>
      <c r="M862" s="183">
        <v>56.25</v>
      </c>
      <c r="N862" s="183"/>
      <c r="O862" s="183">
        <v>56.25</v>
      </c>
      <c r="P862" s="183">
        <v>56.25</v>
      </c>
      <c r="Q862" s="183">
        <v>56.25</v>
      </c>
      <c r="R862" s="472">
        <f t="shared" si="350"/>
        <v>0</v>
      </c>
      <c r="S862" s="472">
        <f t="shared" si="351"/>
        <v>0</v>
      </c>
      <c r="T862" s="472">
        <f t="shared" si="352"/>
        <v>0</v>
      </c>
      <c r="U862" s="182" t="s">
        <v>145</v>
      </c>
      <c r="V862" s="36" t="s">
        <v>100</v>
      </c>
      <c r="W862" s="37" t="s">
        <v>112</v>
      </c>
      <c r="X862" s="37" t="s">
        <v>99</v>
      </c>
      <c r="Y862" s="37" t="s">
        <v>770</v>
      </c>
      <c r="Z862" s="37" t="s">
        <v>153</v>
      </c>
      <c r="AA862" s="12" t="b">
        <f t="shared" si="336"/>
        <v>1</v>
      </c>
      <c r="AB862" s="12" t="b">
        <f t="shared" si="337"/>
        <v>1</v>
      </c>
      <c r="AC862" s="12" t="b">
        <f t="shared" si="338"/>
        <v>1</v>
      </c>
      <c r="AD862" s="12" t="b">
        <f t="shared" si="339"/>
        <v>1</v>
      </c>
      <c r="AE862" s="12" t="b">
        <f t="shared" si="340"/>
        <v>1</v>
      </c>
      <c r="AF862" s="12" t="b">
        <f t="shared" si="341"/>
        <v>1</v>
      </c>
    </row>
    <row r="863" spans="1:32" s="12" customFormat="1" ht="15.75" customHeight="1">
      <c r="A863" s="285"/>
      <c r="B863" s="182" t="s">
        <v>667</v>
      </c>
      <c r="C863" s="36" t="s">
        <v>100</v>
      </c>
      <c r="D863" s="37" t="s">
        <v>112</v>
      </c>
      <c r="E863" s="37" t="s">
        <v>99</v>
      </c>
      <c r="F863" s="37" t="s">
        <v>255</v>
      </c>
      <c r="G863" s="37" t="s">
        <v>90</v>
      </c>
      <c r="H863" s="183">
        <f t="shared" ref="H863:J866" si="354">H864</f>
        <v>4278.91</v>
      </c>
      <c r="I863" s="183">
        <f t="shared" si="354"/>
        <v>4280.83</v>
      </c>
      <c r="J863" s="183">
        <f t="shared" si="354"/>
        <v>4280.83</v>
      </c>
      <c r="K863" s="183">
        <v>4278.91</v>
      </c>
      <c r="L863" s="183">
        <v>4280.83</v>
      </c>
      <c r="M863" s="183">
        <v>4280.83</v>
      </c>
      <c r="N863" s="183"/>
      <c r="O863" s="183">
        <v>4278.91</v>
      </c>
      <c r="P863" s="183">
        <v>4280.83</v>
      </c>
      <c r="Q863" s="183">
        <v>4280.83</v>
      </c>
      <c r="R863" s="472">
        <f t="shared" si="350"/>
        <v>0</v>
      </c>
      <c r="S863" s="472">
        <f t="shared" si="351"/>
        <v>0</v>
      </c>
      <c r="T863" s="472">
        <f t="shared" si="352"/>
        <v>0</v>
      </c>
      <c r="U863" s="182" t="s">
        <v>667</v>
      </c>
      <c r="V863" s="36" t="s">
        <v>100</v>
      </c>
      <c r="W863" s="37" t="s">
        <v>112</v>
      </c>
      <c r="X863" s="37" t="s">
        <v>99</v>
      </c>
      <c r="Y863" s="37" t="s">
        <v>255</v>
      </c>
      <c r="Z863" s="37" t="s">
        <v>90</v>
      </c>
      <c r="AA863" s="12" t="b">
        <f t="shared" si="336"/>
        <v>1</v>
      </c>
      <c r="AB863" s="12" t="b">
        <f t="shared" si="337"/>
        <v>1</v>
      </c>
      <c r="AC863" s="12" t="b">
        <f t="shared" si="338"/>
        <v>1</v>
      </c>
      <c r="AD863" s="12" t="b">
        <f t="shared" si="339"/>
        <v>1</v>
      </c>
      <c r="AE863" s="12" t="b">
        <f t="shared" si="340"/>
        <v>1</v>
      </c>
      <c r="AF863" s="12" t="b">
        <f t="shared" si="341"/>
        <v>1</v>
      </c>
    </row>
    <row r="864" spans="1:32" s="12" customFormat="1" ht="15.75" customHeight="1">
      <c r="A864" s="285"/>
      <c r="B864" s="182" t="s">
        <v>814</v>
      </c>
      <c r="C864" s="36" t="s">
        <v>100</v>
      </c>
      <c r="D864" s="37" t="s">
        <v>112</v>
      </c>
      <c r="E864" s="37" t="s">
        <v>99</v>
      </c>
      <c r="F864" s="37" t="s">
        <v>256</v>
      </c>
      <c r="G864" s="37" t="s">
        <v>90</v>
      </c>
      <c r="H864" s="183">
        <f t="shared" si="354"/>
        <v>4278.91</v>
      </c>
      <c r="I864" s="183">
        <f t="shared" si="354"/>
        <v>4280.83</v>
      </c>
      <c r="J864" s="183">
        <f t="shared" si="354"/>
        <v>4280.83</v>
      </c>
      <c r="K864" s="183">
        <v>4278.91</v>
      </c>
      <c r="L864" s="183">
        <v>4280.83</v>
      </c>
      <c r="M864" s="183">
        <v>4280.83</v>
      </c>
      <c r="N864" s="183"/>
      <c r="O864" s="183">
        <v>4278.91</v>
      </c>
      <c r="P864" s="183">
        <v>4280.83</v>
      </c>
      <c r="Q864" s="183">
        <v>4280.83</v>
      </c>
      <c r="R864" s="472">
        <f t="shared" si="350"/>
        <v>0</v>
      </c>
      <c r="S864" s="472">
        <f t="shared" si="351"/>
        <v>0</v>
      </c>
      <c r="T864" s="472">
        <f t="shared" si="352"/>
        <v>0</v>
      </c>
      <c r="U864" s="182" t="s">
        <v>814</v>
      </c>
      <c r="V864" s="36" t="s">
        <v>100</v>
      </c>
      <c r="W864" s="37" t="s">
        <v>112</v>
      </c>
      <c r="X864" s="37" t="s">
        <v>99</v>
      </c>
      <c r="Y864" s="37" t="s">
        <v>256</v>
      </c>
      <c r="Z864" s="37" t="s">
        <v>90</v>
      </c>
      <c r="AA864" s="12" t="b">
        <f t="shared" si="336"/>
        <v>1</v>
      </c>
      <c r="AB864" s="12" t="b">
        <f t="shared" si="337"/>
        <v>1</v>
      </c>
      <c r="AC864" s="12" t="b">
        <f t="shared" si="338"/>
        <v>1</v>
      </c>
      <c r="AD864" s="12" t="b">
        <f t="shared" si="339"/>
        <v>1</v>
      </c>
      <c r="AE864" s="12" t="b">
        <f t="shared" si="340"/>
        <v>1</v>
      </c>
      <c r="AF864" s="12" t="b">
        <f t="shared" si="341"/>
        <v>1</v>
      </c>
    </row>
    <row r="865" spans="1:32" s="12" customFormat="1" ht="15.75" customHeight="1">
      <c r="A865" s="285"/>
      <c r="B865" s="182" t="s">
        <v>1023</v>
      </c>
      <c r="C865" s="36" t="s">
        <v>100</v>
      </c>
      <c r="D865" s="37" t="s">
        <v>112</v>
      </c>
      <c r="E865" s="37" t="s">
        <v>99</v>
      </c>
      <c r="F865" s="37" t="s">
        <v>1022</v>
      </c>
      <c r="G865" s="37" t="s">
        <v>90</v>
      </c>
      <c r="H865" s="183">
        <f>H866</f>
        <v>4278.91</v>
      </c>
      <c r="I865" s="183">
        <f>I866</f>
        <v>4280.83</v>
      </c>
      <c r="J865" s="183">
        <f>J866</f>
        <v>4280.83</v>
      </c>
      <c r="K865" s="183">
        <v>4278.91</v>
      </c>
      <c r="L865" s="183">
        <v>4280.83</v>
      </c>
      <c r="M865" s="183">
        <v>4280.83</v>
      </c>
      <c r="N865" s="183"/>
      <c r="O865" s="183">
        <v>4278.91</v>
      </c>
      <c r="P865" s="183">
        <v>4280.83</v>
      </c>
      <c r="Q865" s="183">
        <v>4280.83</v>
      </c>
      <c r="R865" s="472">
        <f t="shared" si="350"/>
        <v>0</v>
      </c>
      <c r="S865" s="472">
        <f t="shared" si="351"/>
        <v>0</v>
      </c>
      <c r="T865" s="472">
        <f t="shared" si="352"/>
        <v>0</v>
      </c>
      <c r="U865" s="182" t="s">
        <v>1023</v>
      </c>
      <c r="V865" s="36" t="s">
        <v>100</v>
      </c>
      <c r="W865" s="37" t="s">
        <v>112</v>
      </c>
      <c r="X865" s="37" t="s">
        <v>99</v>
      </c>
      <c r="Y865" s="37" t="s">
        <v>1022</v>
      </c>
      <c r="Z865" s="37" t="s">
        <v>90</v>
      </c>
      <c r="AA865" s="12" t="b">
        <f t="shared" si="336"/>
        <v>1</v>
      </c>
      <c r="AB865" s="12" t="b">
        <f t="shared" si="337"/>
        <v>1</v>
      </c>
      <c r="AC865" s="12" t="b">
        <f t="shared" si="338"/>
        <v>1</v>
      </c>
      <c r="AD865" s="12" t="b">
        <f t="shared" si="339"/>
        <v>1</v>
      </c>
      <c r="AE865" s="12" t="b">
        <f t="shared" si="340"/>
        <v>1</v>
      </c>
      <c r="AF865" s="12" t="b">
        <f t="shared" si="341"/>
        <v>1</v>
      </c>
    </row>
    <row r="866" spans="1:32" s="12" customFormat="1" ht="15.75" customHeight="1">
      <c r="A866" s="285"/>
      <c r="B866" s="23" t="s">
        <v>1028</v>
      </c>
      <c r="C866" s="36" t="s">
        <v>100</v>
      </c>
      <c r="D866" s="37" t="s">
        <v>112</v>
      </c>
      <c r="E866" s="37" t="s">
        <v>99</v>
      </c>
      <c r="F866" s="37" t="s">
        <v>1027</v>
      </c>
      <c r="G866" s="37" t="s">
        <v>90</v>
      </c>
      <c r="H866" s="183">
        <f t="shared" si="354"/>
        <v>4278.91</v>
      </c>
      <c r="I866" s="183">
        <f t="shared" si="354"/>
        <v>4280.83</v>
      </c>
      <c r="J866" s="183">
        <f t="shared" si="354"/>
        <v>4280.83</v>
      </c>
      <c r="K866" s="183">
        <v>4278.91</v>
      </c>
      <c r="L866" s="183">
        <v>4280.83</v>
      </c>
      <c r="M866" s="183">
        <v>4280.83</v>
      </c>
      <c r="N866" s="183"/>
      <c r="O866" s="183">
        <v>4278.91</v>
      </c>
      <c r="P866" s="183">
        <v>4280.83</v>
      </c>
      <c r="Q866" s="183">
        <v>4280.83</v>
      </c>
      <c r="R866" s="472">
        <f t="shared" si="350"/>
        <v>0</v>
      </c>
      <c r="S866" s="472">
        <f t="shared" si="351"/>
        <v>0</v>
      </c>
      <c r="T866" s="472">
        <f t="shared" si="352"/>
        <v>0</v>
      </c>
      <c r="U866" s="23" t="s">
        <v>1028</v>
      </c>
      <c r="V866" s="36" t="s">
        <v>100</v>
      </c>
      <c r="W866" s="37" t="s">
        <v>112</v>
      </c>
      <c r="X866" s="37" t="s">
        <v>99</v>
      </c>
      <c r="Y866" s="37" t="s">
        <v>1027</v>
      </c>
      <c r="Z866" s="37" t="s">
        <v>90</v>
      </c>
      <c r="AA866" s="12" t="b">
        <f t="shared" si="336"/>
        <v>1</v>
      </c>
      <c r="AB866" s="12" t="b">
        <f t="shared" si="337"/>
        <v>1</v>
      </c>
      <c r="AC866" s="12" t="b">
        <f t="shared" si="338"/>
        <v>1</v>
      </c>
      <c r="AD866" s="12" t="b">
        <f t="shared" si="339"/>
        <v>1</v>
      </c>
      <c r="AE866" s="12" t="b">
        <f t="shared" si="340"/>
        <v>1</v>
      </c>
      <c r="AF866" s="12" t="b">
        <f t="shared" si="341"/>
        <v>1</v>
      </c>
    </row>
    <row r="867" spans="1:32" s="12" customFormat="1" ht="15.75" customHeight="1">
      <c r="A867" s="285"/>
      <c r="B867" s="23" t="s">
        <v>132</v>
      </c>
      <c r="C867" s="36" t="s">
        <v>100</v>
      </c>
      <c r="D867" s="37" t="s">
        <v>112</v>
      </c>
      <c r="E867" s="37" t="s">
        <v>99</v>
      </c>
      <c r="F867" s="37" t="s">
        <v>1027</v>
      </c>
      <c r="G867" s="37" t="s">
        <v>171</v>
      </c>
      <c r="H867" s="183">
        <v>4278.91</v>
      </c>
      <c r="I867" s="183">
        <v>4280.83</v>
      </c>
      <c r="J867" s="183">
        <v>4280.83</v>
      </c>
      <c r="K867" s="183">
        <v>4278.91</v>
      </c>
      <c r="L867" s="183">
        <v>4280.83</v>
      </c>
      <c r="M867" s="183">
        <v>4280.83</v>
      </c>
      <c r="N867" s="183"/>
      <c r="O867" s="183">
        <v>4278.91</v>
      </c>
      <c r="P867" s="183">
        <v>4280.83</v>
      </c>
      <c r="Q867" s="183">
        <v>4280.83</v>
      </c>
      <c r="R867" s="472">
        <f t="shared" si="350"/>
        <v>0</v>
      </c>
      <c r="S867" s="472">
        <f t="shared" si="351"/>
        <v>0</v>
      </c>
      <c r="T867" s="472">
        <f t="shared" si="352"/>
        <v>0</v>
      </c>
      <c r="U867" s="23" t="s">
        <v>132</v>
      </c>
      <c r="V867" s="36" t="s">
        <v>100</v>
      </c>
      <c r="W867" s="37" t="s">
        <v>112</v>
      </c>
      <c r="X867" s="37" t="s">
        <v>99</v>
      </c>
      <c r="Y867" s="37" t="s">
        <v>1027</v>
      </c>
      <c r="Z867" s="37" t="s">
        <v>171</v>
      </c>
      <c r="AA867" s="12" t="b">
        <f t="shared" si="336"/>
        <v>1</v>
      </c>
      <c r="AB867" s="12" t="b">
        <f t="shared" si="337"/>
        <v>1</v>
      </c>
      <c r="AC867" s="12" t="b">
        <f t="shared" si="338"/>
        <v>1</v>
      </c>
      <c r="AD867" s="12" t="b">
        <f t="shared" si="339"/>
        <v>1</v>
      </c>
      <c r="AE867" s="12" t="b">
        <f t="shared" si="340"/>
        <v>1</v>
      </c>
      <c r="AF867" s="12" t="b">
        <f t="shared" si="341"/>
        <v>1</v>
      </c>
    </row>
    <row r="868" spans="1:32" s="12" customFormat="1" ht="15.75" customHeight="1">
      <c r="A868" s="285"/>
      <c r="B868" s="182" t="s">
        <v>1165</v>
      </c>
      <c r="C868" s="36" t="s">
        <v>100</v>
      </c>
      <c r="D868" s="37" t="s">
        <v>112</v>
      </c>
      <c r="E868" s="37" t="s">
        <v>99</v>
      </c>
      <c r="F868" s="37" t="s">
        <v>323</v>
      </c>
      <c r="G868" s="37" t="s">
        <v>90</v>
      </c>
      <c r="H868" s="183">
        <f t="shared" ref="H868:J871" si="355">H869</f>
        <v>310.77</v>
      </c>
      <c r="I868" s="183">
        <f t="shared" si="355"/>
        <v>310.77</v>
      </c>
      <c r="J868" s="183">
        <f t="shared" si="355"/>
        <v>310.77</v>
      </c>
      <c r="K868" s="183">
        <v>310.77</v>
      </c>
      <c r="L868" s="183">
        <v>310.77</v>
      </c>
      <c r="M868" s="183">
        <v>310.77</v>
      </c>
      <c r="N868" s="183"/>
      <c r="O868" s="183">
        <v>310.77</v>
      </c>
      <c r="P868" s="183">
        <v>310.77</v>
      </c>
      <c r="Q868" s="183">
        <v>310.77</v>
      </c>
      <c r="R868" s="472">
        <f t="shared" si="350"/>
        <v>0</v>
      </c>
      <c r="S868" s="472">
        <f t="shared" si="351"/>
        <v>0</v>
      </c>
      <c r="T868" s="472">
        <f t="shared" si="352"/>
        <v>0</v>
      </c>
      <c r="U868" s="182" t="s">
        <v>1165</v>
      </c>
      <c r="V868" s="36" t="s">
        <v>100</v>
      </c>
      <c r="W868" s="37" t="s">
        <v>112</v>
      </c>
      <c r="X868" s="37" t="s">
        <v>99</v>
      </c>
      <c r="Y868" s="37" t="s">
        <v>323</v>
      </c>
      <c r="Z868" s="37" t="s">
        <v>90</v>
      </c>
      <c r="AA868" s="12" t="b">
        <f t="shared" si="336"/>
        <v>1</v>
      </c>
      <c r="AB868" s="12" t="b">
        <f t="shared" si="337"/>
        <v>1</v>
      </c>
      <c r="AC868" s="12" t="b">
        <f t="shared" si="338"/>
        <v>1</v>
      </c>
      <c r="AD868" s="12" t="b">
        <f t="shared" si="339"/>
        <v>1</v>
      </c>
      <c r="AE868" s="12" t="b">
        <f t="shared" si="340"/>
        <v>1</v>
      </c>
      <c r="AF868" s="12" t="b">
        <f t="shared" si="341"/>
        <v>1</v>
      </c>
    </row>
    <row r="869" spans="1:32" s="12" customFormat="1" ht="15.75" customHeight="1">
      <c r="A869" s="285"/>
      <c r="B869" s="182" t="s">
        <v>1214</v>
      </c>
      <c r="C869" s="36" t="s">
        <v>100</v>
      </c>
      <c r="D869" s="37" t="s">
        <v>112</v>
      </c>
      <c r="E869" s="37" t="s">
        <v>99</v>
      </c>
      <c r="F869" s="37" t="s">
        <v>324</v>
      </c>
      <c r="G869" s="37" t="s">
        <v>90</v>
      </c>
      <c r="H869" s="183">
        <f t="shared" si="355"/>
        <v>310.77</v>
      </c>
      <c r="I869" s="183">
        <f t="shared" si="355"/>
        <v>310.77</v>
      </c>
      <c r="J869" s="183">
        <f t="shared" si="355"/>
        <v>310.77</v>
      </c>
      <c r="K869" s="183">
        <v>310.77</v>
      </c>
      <c r="L869" s="183">
        <v>310.77</v>
      </c>
      <c r="M869" s="183">
        <v>310.77</v>
      </c>
      <c r="N869" s="183"/>
      <c r="O869" s="183">
        <v>310.77</v>
      </c>
      <c r="P869" s="183">
        <v>310.77</v>
      </c>
      <c r="Q869" s="183">
        <v>310.77</v>
      </c>
      <c r="R869" s="472">
        <f t="shared" si="350"/>
        <v>0</v>
      </c>
      <c r="S869" s="472">
        <f t="shared" si="351"/>
        <v>0</v>
      </c>
      <c r="T869" s="472">
        <f t="shared" si="352"/>
        <v>0</v>
      </c>
      <c r="U869" s="495" t="s">
        <v>1214</v>
      </c>
      <c r="V869" s="36" t="s">
        <v>100</v>
      </c>
      <c r="W869" s="37" t="s">
        <v>112</v>
      </c>
      <c r="X869" s="37" t="s">
        <v>99</v>
      </c>
      <c r="Y869" s="37" t="s">
        <v>324</v>
      </c>
      <c r="Z869" s="37" t="s">
        <v>90</v>
      </c>
      <c r="AA869" s="12" t="b">
        <f t="shared" si="336"/>
        <v>1</v>
      </c>
      <c r="AB869" s="12" t="b">
        <f t="shared" si="337"/>
        <v>1</v>
      </c>
      <c r="AC869" s="12" t="b">
        <f t="shared" si="338"/>
        <v>1</v>
      </c>
      <c r="AD869" s="12" t="b">
        <f t="shared" si="339"/>
        <v>1</v>
      </c>
      <c r="AE869" s="12" t="b">
        <f t="shared" si="340"/>
        <v>1</v>
      </c>
      <c r="AF869" s="12" t="b">
        <f t="shared" si="341"/>
        <v>1</v>
      </c>
    </row>
    <row r="870" spans="1:32" s="12" customFormat="1" ht="15.75" customHeight="1">
      <c r="A870" s="285"/>
      <c r="B870" s="182" t="s">
        <v>573</v>
      </c>
      <c r="C870" s="36" t="s">
        <v>100</v>
      </c>
      <c r="D870" s="37" t="s">
        <v>112</v>
      </c>
      <c r="E870" s="37" t="s">
        <v>99</v>
      </c>
      <c r="F870" s="37" t="s">
        <v>526</v>
      </c>
      <c r="G870" s="37" t="s">
        <v>90</v>
      </c>
      <c r="H870" s="183">
        <f t="shared" si="355"/>
        <v>310.77</v>
      </c>
      <c r="I870" s="183">
        <f t="shared" si="355"/>
        <v>310.77</v>
      </c>
      <c r="J870" s="183">
        <f t="shared" si="355"/>
        <v>310.77</v>
      </c>
      <c r="K870" s="183">
        <v>310.77</v>
      </c>
      <c r="L870" s="183">
        <v>310.77</v>
      </c>
      <c r="M870" s="183">
        <v>310.77</v>
      </c>
      <c r="N870" s="183"/>
      <c r="O870" s="183">
        <v>310.77</v>
      </c>
      <c r="P870" s="183">
        <v>310.77</v>
      </c>
      <c r="Q870" s="183">
        <v>310.77</v>
      </c>
      <c r="R870" s="472">
        <f t="shared" si="350"/>
        <v>0</v>
      </c>
      <c r="S870" s="472">
        <f t="shared" si="351"/>
        <v>0</v>
      </c>
      <c r="T870" s="472">
        <f t="shared" si="352"/>
        <v>0</v>
      </c>
      <c r="U870" s="182" t="s">
        <v>573</v>
      </c>
      <c r="V870" s="36" t="s">
        <v>100</v>
      </c>
      <c r="W870" s="37" t="s">
        <v>112</v>
      </c>
      <c r="X870" s="37" t="s">
        <v>99</v>
      </c>
      <c r="Y870" s="37" t="s">
        <v>526</v>
      </c>
      <c r="Z870" s="37" t="s">
        <v>90</v>
      </c>
      <c r="AA870" s="12" t="b">
        <f t="shared" si="336"/>
        <v>1</v>
      </c>
      <c r="AB870" s="12" t="b">
        <f t="shared" si="337"/>
        <v>1</v>
      </c>
      <c r="AC870" s="12" t="b">
        <f t="shared" si="338"/>
        <v>1</v>
      </c>
      <c r="AD870" s="12" t="b">
        <f t="shared" si="339"/>
        <v>1</v>
      </c>
      <c r="AE870" s="12" t="b">
        <f t="shared" si="340"/>
        <v>1</v>
      </c>
      <c r="AF870" s="12" t="b">
        <f t="shared" si="341"/>
        <v>1</v>
      </c>
    </row>
    <row r="871" spans="1:32" s="12" customFormat="1" ht="15.75" customHeight="1">
      <c r="A871" s="285"/>
      <c r="B871" s="182" t="s">
        <v>202</v>
      </c>
      <c r="C871" s="36" t="s">
        <v>100</v>
      </c>
      <c r="D871" s="37" t="s">
        <v>112</v>
      </c>
      <c r="E871" s="37" t="s">
        <v>99</v>
      </c>
      <c r="F871" s="37" t="s">
        <v>527</v>
      </c>
      <c r="G871" s="37" t="s">
        <v>90</v>
      </c>
      <c r="H871" s="183">
        <f t="shared" si="355"/>
        <v>310.77</v>
      </c>
      <c r="I871" s="183">
        <f t="shared" si="355"/>
        <v>310.77</v>
      </c>
      <c r="J871" s="183">
        <f t="shared" si="355"/>
        <v>310.77</v>
      </c>
      <c r="K871" s="183">
        <v>310.77</v>
      </c>
      <c r="L871" s="183">
        <v>310.77</v>
      </c>
      <c r="M871" s="183">
        <v>310.77</v>
      </c>
      <c r="N871" s="183"/>
      <c r="O871" s="183">
        <v>310.77</v>
      </c>
      <c r="P871" s="183">
        <v>310.77</v>
      </c>
      <c r="Q871" s="183">
        <v>310.77</v>
      </c>
      <c r="R871" s="472">
        <f t="shared" si="350"/>
        <v>0</v>
      </c>
      <c r="S871" s="472">
        <f t="shared" si="351"/>
        <v>0</v>
      </c>
      <c r="T871" s="472">
        <f t="shared" si="352"/>
        <v>0</v>
      </c>
      <c r="U871" s="182" t="s">
        <v>202</v>
      </c>
      <c r="V871" s="36" t="s">
        <v>100</v>
      </c>
      <c r="W871" s="37" t="s">
        <v>112</v>
      </c>
      <c r="X871" s="37" t="s">
        <v>99</v>
      </c>
      <c r="Y871" s="37" t="s">
        <v>527</v>
      </c>
      <c r="Z871" s="37" t="s">
        <v>90</v>
      </c>
      <c r="AA871" s="12" t="b">
        <f t="shared" si="336"/>
        <v>1</v>
      </c>
      <c r="AB871" s="12" t="b">
        <f t="shared" si="337"/>
        <v>1</v>
      </c>
      <c r="AC871" s="12" t="b">
        <f t="shared" si="338"/>
        <v>1</v>
      </c>
      <c r="AD871" s="12" t="b">
        <f t="shared" si="339"/>
        <v>1</v>
      </c>
      <c r="AE871" s="12" t="b">
        <f t="shared" si="340"/>
        <v>1</v>
      </c>
      <c r="AF871" s="12" t="b">
        <f t="shared" si="341"/>
        <v>1</v>
      </c>
    </row>
    <row r="872" spans="1:32" s="12" customFormat="1" ht="15.75" customHeight="1">
      <c r="A872" s="285"/>
      <c r="B872" s="23" t="s">
        <v>132</v>
      </c>
      <c r="C872" s="36" t="s">
        <v>100</v>
      </c>
      <c r="D872" s="37" t="s">
        <v>112</v>
      </c>
      <c r="E872" s="37" t="s">
        <v>99</v>
      </c>
      <c r="F872" s="37" t="s">
        <v>527</v>
      </c>
      <c r="G872" s="37" t="s">
        <v>171</v>
      </c>
      <c r="H872" s="183">
        <f>233.55+77.22</f>
        <v>310.77</v>
      </c>
      <c r="I872" s="183">
        <f>233.55+77.22</f>
        <v>310.77</v>
      </c>
      <c r="J872" s="183">
        <f>233.55+77.22</f>
        <v>310.77</v>
      </c>
      <c r="K872" s="183">
        <v>310.77</v>
      </c>
      <c r="L872" s="183">
        <v>310.77</v>
      </c>
      <c r="M872" s="183">
        <v>310.77</v>
      </c>
      <c r="N872" s="183"/>
      <c r="O872" s="183">
        <v>310.77</v>
      </c>
      <c r="P872" s="183">
        <v>310.77</v>
      </c>
      <c r="Q872" s="183">
        <v>310.77</v>
      </c>
      <c r="R872" s="472">
        <f t="shared" si="350"/>
        <v>0</v>
      </c>
      <c r="S872" s="472">
        <f t="shared" si="351"/>
        <v>0</v>
      </c>
      <c r="T872" s="472">
        <f t="shared" si="352"/>
        <v>0</v>
      </c>
      <c r="U872" s="23" t="s">
        <v>132</v>
      </c>
      <c r="V872" s="36" t="s">
        <v>100</v>
      </c>
      <c r="W872" s="37" t="s">
        <v>112</v>
      </c>
      <c r="X872" s="37" t="s">
        <v>99</v>
      </c>
      <c r="Y872" s="37" t="s">
        <v>527</v>
      </c>
      <c r="Z872" s="37" t="s">
        <v>171</v>
      </c>
      <c r="AA872" s="12" t="b">
        <f t="shared" si="336"/>
        <v>1</v>
      </c>
      <c r="AB872" s="12" t="b">
        <f t="shared" si="337"/>
        <v>1</v>
      </c>
      <c r="AC872" s="12" t="b">
        <f t="shared" si="338"/>
        <v>1</v>
      </c>
      <c r="AD872" s="12" t="b">
        <f t="shared" si="339"/>
        <v>1</v>
      </c>
      <c r="AE872" s="12" t="b">
        <f t="shared" si="340"/>
        <v>1</v>
      </c>
      <c r="AF872" s="12" t="b">
        <f t="shared" si="341"/>
        <v>1</v>
      </c>
    </row>
    <row r="873" spans="1:32" s="12" customFormat="1" ht="15.75" customHeight="1">
      <c r="A873" s="285"/>
      <c r="B873" s="32" t="s">
        <v>115</v>
      </c>
      <c r="C873" s="33" t="s">
        <v>100</v>
      </c>
      <c r="D873" s="34" t="s">
        <v>112</v>
      </c>
      <c r="E873" s="34" t="s">
        <v>85</v>
      </c>
      <c r="F873" s="34" t="s">
        <v>223</v>
      </c>
      <c r="G873" s="34" t="s">
        <v>90</v>
      </c>
      <c r="H873" s="35">
        <f t="shared" ref="H873:J881" si="356">H874</f>
        <v>49728.4</v>
      </c>
      <c r="I873" s="35">
        <f t="shared" si="356"/>
        <v>1500</v>
      </c>
      <c r="J873" s="35">
        <f t="shared" si="356"/>
        <v>1500</v>
      </c>
      <c r="K873" s="35">
        <v>8500</v>
      </c>
      <c r="L873" s="35">
        <v>1500</v>
      </c>
      <c r="M873" s="35">
        <v>1500</v>
      </c>
      <c r="N873" s="35"/>
      <c r="O873" s="35">
        <v>8500</v>
      </c>
      <c r="P873" s="35">
        <v>1500</v>
      </c>
      <c r="Q873" s="35">
        <v>1500</v>
      </c>
      <c r="R873" s="472">
        <f t="shared" si="350"/>
        <v>41228.400000000001</v>
      </c>
      <c r="S873" s="472">
        <f t="shared" si="351"/>
        <v>0</v>
      </c>
      <c r="T873" s="472">
        <f t="shared" si="352"/>
        <v>0</v>
      </c>
      <c r="U873" s="32" t="s">
        <v>115</v>
      </c>
      <c r="V873" s="33" t="s">
        <v>100</v>
      </c>
      <c r="W873" s="34" t="s">
        <v>112</v>
      </c>
      <c r="X873" s="34" t="s">
        <v>85</v>
      </c>
      <c r="Y873" s="34" t="s">
        <v>223</v>
      </c>
      <c r="Z873" s="34" t="s">
        <v>90</v>
      </c>
      <c r="AA873" s="12" t="b">
        <f t="shared" si="336"/>
        <v>1</v>
      </c>
      <c r="AB873" s="12" t="b">
        <f t="shared" si="337"/>
        <v>1</v>
      </c>
      <c r="AC873" s="12" t="b">
        <f t="shared" si="338"/>
        <v>1</v>
      </c>
      <c r="AD873" s="12" t="b">
        <f t="shared" si="339"/>
        <v>1</v>
      </c>
      <c r="AE873" s="12" t="b">
        <f t="shared" si="340"/>
        <v>1</v>
      </c>
      <c r="AF873" s="12" t="b">
        <f t="shared" si="341"/>
        <v>1</v>
      </c>
    </row>
    <row r="874" spans="1:32" s="12" customFormat="1" ht="15.75" customHeight="1">
      <c r="A874" s="285"/>
      <c r="B874" s="182" t="s">
        <v>657</v>
      </c>
      <c r="C874" s="36" t="s">
        <v>100</v>
      </c>
      <c r="D874" s="37" t="s">
        <v>112</v>
      </c>
      <c r="E874" s="37" t="s">
        <v>85</v>
      </c>
      <c r="F874" s="37" t="s">
        <v>400</v>
      </c>
      <c r="G874" s="37" t="s">
        <v>90</v>
      </c>
      <c r="H874" s="183">
        <f>H879+H875</f>
        <v>49728.4</v>
      </c>
      <c r="I874" s="183">
        <f t="shared" ref="I874:J874" si="357">I879+I875</f>
        <v>1500</v>
      </c>
      <c r="J874" s="183">
        <f t="shared" si="357"/>
        <v>1500</v>
      </c>
      <c r="K874" s="183">
        <v>8500</v>
      </c>
      <c r="L874" s="183">
        <v>1500</v>
      </c>
      <c r="M874" s="183">
        <v>1500</v>
      </c>
      <c r="N874" s="183"/>
      <c r="O874" s="183">
        <v>8500</v>
      </c>
      <c r="P874" s="183">
        <v>1500</v>
      </c>
      <c r="Q874" s="183">
        <v>1500</v>
      </c>
      <c r="R874" s="472">
        <f t="shared" si="350"/>
        <v>41228.400000000001</v>
      </c>
      <c r="S874" s="472">
        <f t="shared" si="351"/>
        <v>0</v>
      </c>
      <c r="T874" s="472">
        <f t="shared" si="352"/>
        <v>0</v>
      </c>
      <c r="U874" s="182" t="s">
        <v>657</v>
      </c>
      <c r="V874" s="36" t="s">
        <v>100</v>
      </c>
      <c r="W874" s="37" t="s">
        <v>112</v>
      </c>
      <c r="X874" s="37" t="s">
        <v>85</v>
      </c>
      <c r="Y874" s="37" t="s">
        <v>400</v>
      </c>
      <c r="Z874" s="37" t="s">
        <v>90</v>
      </c>
      <c r="AA874" s="12" t="b">
        <f t="shared" si="336"/>
        <v>1</v>
      </c>
      <c r="AB874" s="12" t="b">
        <f t="shared" si="337"/>
        <v>1</v>
      </c>
      <c r="AC874" s="12" t="b">
        <f t="shared" si="338"/>
        <v>1</v>
      </c>
      <c r="AD874" s="12" t="b">
        <f t="shared" si="339"/>
        <v>1</v>
      </c>
      <c r="AE874" s="12" t="b">
        <f t="shared" si="340"/>
        <v>1</v>
      </c>
      <c r="AF874" s="12" t="b">
        <f t="shared" si="341"/>
        <v>1</v>
      </c>
    </row>
    <row r="875" spans="1:32" s="12" customFormat="1" ht="15.75" customHeight="1">
      <c r="A875" s="285"/>
      <c r="B875" s="182" t="s">
        <v>923</v>
      </c>
      <c r="C875" s="36" t="s">
        <v>100</v>
      </c>
      <c r="D875" s="37" t="s">
        <v>112</v>
      </c>
      <c r="E875" s="37" t="s">
        <v>85</v>
      </c>
      <c r="F875" s="37" t="s">
        <v>401</v>
      </c>
      <c r="G875" s="37" t="s">
        <v>90</v>
      </c>
      <c r="H875" s="183">
        <f>H876</f>
        <v>41228.400000000001</v>
      </c>
      <c r="I875" s="183">
        <f t="shared" ref="I875:J877" si="358">I876</f>
        <v>0</v>
      </c>
      <c r="J875" s="183">
        <f t="shared" si="358"/>
        <v>0</v>
      </c>
      <c r="K875" s="183"/>
      <c r="L875" s="183"/>
      <c r="M875" s="183"/>
      <c r="N875" s="183"/>
      <c r="O875" s="183"/>
      <c r="P875" s="183"/>
      <c r="Q875" s="183"/>
      <c r="R875" s="472"/>
      <c r="S875" s="472"/>
      <c r="T875" s="472"/>
      <c r="U875" s="182"/>
      <c r="V875" s="36"/>
      <c r="W875" s="37"/>
      <c r="X875" s="37"/>
      <c r="Y875" s="37"/>
      <c r="Z875" s="37"/>
    </row>
    <row r="876" spans="1:32" s="12" customFormat="1" ht="15.75" customHeight="1">
      <c r="A876" s="285"/>
      <c r="B876" s="182" t="s">
        <v>926</v>
      </c>
      <c r="C876" s="36" t="s">
        <v>100</v>
      </c>
      <c r="D876" s="37" t="s">
        <v>112</v>
      </c>
      <c r="E876" s="37" t="s">
        <v>85</v>
      </c>
      <c r="F876" s="37" t="s">
        <v>890</v>
      </c>
      <c r="G876" s="37" t="s">
        <v>90</v>
      </c>
      <c r="H876" s="183">
        <f>H877</f>
        <v>41228.400000000001</v>
      </c>
      <c r="I876" s="183">
        <f t="shared" si="358"/>
        <v>0</v>
      </c>
      <c r="J876" s="183">
        <f t="shared" si="358"/>
        <v>0</v>
      </c>
      <c r="K876" s="183"/>
      <c r="L876" s="183"/>
      <c r="M876" s="183"/>
      <c r="N876" s="183"/>
      <c r="O876" s="183"/>
      <c r="P876" s="183"/>
      <c r="Q876" s="183"/>
      <c r="R876" s="472"/>
      <c r="S876" s="472"/>
      <c r="T876" s="472"/>
      <c r="U876" s="182"/>
      <c r="V876" s="36"/>
      <c r="W876" s="37"/>
      <c r="X876" s="37"/>
      <c r="Y876" s="37"/>
      <c r="Z876" s="37"/>
    </row>
    <row r="877" spans="1:32" s="12" customFormat="1" ht="15.75" customHeight="1">
      <c r="A877" s="285"/>
      <c r="B877" s="182" t="s">
        <v>1280</v>
      </c>
      <c r="C877" s="36" t="s">
        <v>100</v>
      </c>
      <c r="D877" s="37" t="s">
        <v>112</v>
      </c>
      <c r="E877" s="37" t="s">
        <v>85</v>
      </c>
      <c r="F877" s="37" t="s">
        <v>1281</v>
      </c>
      <c r="G877" s="37" t="s">
        <v>90</v>
      </c>
      <c r="H877" s="183">
        <f>H878</f>
        <v>41228.400000000001</v>
      </c>
      <c r="I877" s="183">
        <f t="shared" si="358"/>
        <v>0</v>
      </c>
      <c r="J877" s="183">
        <f t="shared" si="358"/>
        <v>0</v>
      </c>
      <c r="K877" s="183"/>
      <c r="L877" s="183"/>
      <c r="M877" s="183"/>
      <c r="N877" s="183"/>
      <c r="O877" s="183"/>
      <c r="P877" s="183"/>
      <c r="Q877" s="183"/>
      <c r="R877" s="472"/>
      <c r="S877" s="472"/>
      <c r="T877" s="472"/>
      <c r="U877" s="182"/>
      <c r="V877" s="36"/>
      <c r="W877" s="37"/>
      <c r="X877" s="37"/>
      <c r="Y877" s="37"/>
      <c r="Z877" s="37"/>
    </row>
    <row r="878" spans="1:32" s="12" customFormat="1" ht="15.75" customHeight="1">
      <c r="A878" s="285"/>
      <c r="B878" s="182" t="s">
        <v>132</v>
      </c>
      <c r="C878" s="36" t="s">
        <v>100</v>
      </c>
      <c r="D878" s="37" t="s">
        <v>112</v>
      </c>
      <c r="E878" s="37" t="s">
        <v>85</v>
      </c>
      <c r="F878" s="37" t="s">
        <v>1281</v>
      </c>
      <c r="G878" s="37" t="s">
        <v>171</v>
      </c>
      <c r="H878" s="183">
        <f>39166.98+2061.42</f>
        <v>41228.400000000001</v>
      </c>
      <c r="I878" s="183">
        <v>0</v>
      </c>
      <c r="J878" s="183">
        <v>0</v>
      </c>
      <c r="K878" s="183"/>
      <c r="L878" s="183"/>
      <c r="M878" s="183"/>
      <c r="N878" s="183"/>
      <c r="O878" s="183"/>
      <c r="P878" s="183"/>
      <c r="Q878" s="183"/>
      <c r="R878" s="472"/>
      <c r="S878" s="472"/>
      <c r="T878" s="472"/>
      <c r="U878" s="182"/>
      <c r="V878" s="36"/>
      <c r="W878" s="37"/>
      <c r="X878" s="37"/>
      <c r="Y878" s="37"/>
      <c r="Z878" s="37"/>
    </row>
    <row r="879" spans="1:32" s="12" customFormat="1" ht="15.75" customHeight="1">
      <c r="A879" s="285"/>
      <c r="B879" s="182" t="s">
        <v>927</v>
      </c>
      <c r="C879" s="36" t="s">
        <v>100</v>
      </c>
      <c r="D879" s="37" t="s">
        <v>112</v>
      </c>
      <c r="E879" s="37" t="s">
        <v>85</v>
      </c>
      <c r="F879" s="37" t="s">
        <v>418</v>
      </c>
      <c r="G879" s="37" t="s">
        <v>90</v>
      </c>
      <c r="H879" s="183">
        <f t="shared" si="356"/>
        <v>8500</v>
      </c>
      <c r="I879" s="183">
        <f t="shared" si="356"/>
        <v>1500</v>
      </c>
      <c r="J879" s="183">
        <f t="shared" si="356"/>
        <v>1500</v>
      </c>
      <c r="K879" s="183">
        <v>8500</v>
      </c>
      <c r="L879" s="183">
        <v>1500</v>
      </c>
      <c r="M879" s="183">
        <v>1500</v>
      </c>
      <c r="N879" s="183"/>
      <c r="O879" s="183">
        <v>8500</v>
      </c>
      <c r="P879" s="183">
        <v>1500</v>
      </c>
      <c r="Q879" s="183">
        <v>1500</v>
      </c>
      <c r="R879" s="472">
        <f t="shared" si="350"/>
        <v>0</v>
      </c>
      <c r="S879" s="472">
        <f t="shared" si="351"/>
        <v>0</v>
      </c>
      <c r="T879" s="472">
        <f t="shared" si="352"/>
        <v>0</v>
      </c>
      <c r="U879" s="182" t="s">
        <v>927</v>
      </c>
      <c r="V879" s="36" t="s">
        <v>100</v>
      </c>
      <c r="W879" s="37" t="s">
        <v>112</v>
      </c>
      <c r="X879" s="37" t="s">
        <v>85</v>
      </c>
      <c r="Y879" s="37" t="s">
        <v>418</v>
      </c>
      <c r="Z879" s="37" t="s">
        <v>90</v>
      </c>
      <c r="AA879" s="12" t="b">
        <f t="shared" si="336"/>
        <v>1</v>
      </c>
      <c r="AB879" s="12" t="b">
        <f t="shared" si="337"/>
        <v>1</v>
      </c>
      <c r="AC879" s="12" t="b">
        <f t="shared" si="338"/>
        <v>1</v>
      </c>
      <c r="AD879" s="12" t="b">
        <f t="shared" si="339"/>
        <v>1</v>
      </c>
      <c r="AE879" s="12" t="b">
        <f t="shared" si="340"/>
        <v>1</v>
      </c>
      <c r="AF879" s="12" t="b">
        <f t="shared" si="341"/>
        <v>1</v>
      </c>
    </row>
    <row r="880" spans="1:32" s="12" customFormat="1" ht="15.75" customHeight="1">
      <c r="A880" s="285"/>
      <c r="B880" s="182" t="s">
        <v>774</v>
      </c>
      <c r="C880" s="36" t="s">
        <v>100</v>
      </c>
      <c r="D880" s="37" t="s">
        <v>112</v>
      </c>
      <c r="E880" s="37" t="s">
        <v>85</v>
      </c>
      <c r="F880" s="37" t="s">
        <v>530</v>
      </c>
      <c r="G880" s="37" t="s">
        <v>90</v>
      </c>
      <c r="H880" s="183">
        <f t="shared" ref="H880:I880" si="359">H881+H883</f>
        <v>8500</v>
      </c>
      <c r="I880" s="183">
        <f t="shared" si="359"/>
        <v>1500</v>
      </c>
      <c r="J880" s="183">
        <f t="shared" ref="J880" si="360">J881+J883</f>
        <v>1500</v>
      </c>
      <c r="K880" s="183">
        <v>8500</v>
      </c>
      <c r="L880" s="183">
        <v>1500</v>
      </c>
      <c r="M880" s="183">
        <v>1500</v>
      </c>
      <c r="N880" s="183"/>
      <c r="O880" s="183">
        <v>8500</v>
      </c>
      <c r="P880" s="183">
        <v>1500</v>
      </c>
      <c r="Q880" s="183">
        <v>1500</v>
      </c>
      <c r="R880" s="472">
        <f t="shared" si="350"/>
        <v>0</v>
      </c>
      <c r="S880" s="472">
        <f t="shared" si="351"/>
        <v>0</v>
      </c>
      <c r="T880" s="472">
        <f t="shared" si="352"/>
        <v>0</v>
      </c>
      <c r="U880" s="182" t="s">
        <v>774</v>
      </c>
      <c r="V880" s="36" t="s">
        <v>100</v>
      </c>
      <c r="W880" s="37" t="s">
        <v>112</v>
      </c>
      <c r="X880" s="37" t="s">
        <v>85</v>
      </c>
      <c r="Y880" s="37" t="s">
        <v>530</v>
      </c>
      <c r="Z880" s="37" t="s">
        <v>90</v>
      </c>
      <c r="AA880" s="12" t="b">
        <f t="shared" si="336"/>
        <v>1</v>
      </c>
      <c r="AB880" s="12" t="b">
        <f t="shared" si="337"/>
        <v>1</v>
      </c>
      <c r="AC880" s="12" t="b">
        <f t="shared" si="338"/>
        <v>1</v>
      </c>
      <c r="AD880" s="12" t="b">
        <f t="shared" si="339"/>
        <v>1</v>
      </c>
      <c r="AE880" s="12" t="b">
        <f t="shared" si="340"/>
        <v>1</v>
      </c>
      <c r="AF880" s="12" t="b">
        <f t="shared" si="341"/>
        <v>1</v>
      </c>
    </row>
    <row r="881" spans="1:32" s="12" customFormat="1" ht="15.75" customHeight="1">
      <c r="A881" s="285"/>
      <c r="B881" s="182" t="s">
        <v>765</v>
      </c>
      <c r="C881" s="36" t="s">
        <v>100</v>
      </c>
      <c r="D881" s="37" t="s">
        <v>112</v>
      </c>
      <c r="E881" s="37" t="s">
        <v>85</v>
      </c>
      <c r="F881" s="37" t="s">
        <v>531</v>
      </c>
      <c r="G881" s="37" t="s">
        <v>90</v>
      </c>
      <c r="H881" s="183">
        <f t="shared" si="356"/>
        <v>1500</v>
      </c>
      <c r="I881" s="183">
        <f t="shared" si="356"/>
        <v>1500</v>
      </c>
      <c r="J881" s="183">
        <f t="shared" si="356"/>
        <v>1500</v>
      </c>
      <c r="K881" s="183">
        <v>1500</v>
      </c>
      <c r="L881" s="183">
        <v>1500</v>
      </c>
      <c r="M881" s="183">
        <v>1500</v>
      </c>
      <c r="N881" s="183"/>
      <c r="O881" s="183">
        <v>1500</v>
      </c>
      <c r="P881" s="183">
        <v>1500</v>
      </c>
      <c r="Q881" s="183">
        <v>1500</v>
      </c>
      <c r="R881" s="472">
        <f t="shared" si="350"/>
        <v>0</v>
      </c>
      <c r="S881" s="472">
        <f t="shared" si="351"/>
        <v>0</v>
      </c>
      <c r="T881" s="472">
        <f t="shared" si="352"/>
        <v>0</v>
      </c>
      <c r="U881" s="182" t="s">
        <v>765</v>
      </c>
      <c r="V881" s="36" t="s">
        <v>100</v>
      </c>
      <c r="W881" s="37" t="s">
        <v>112</v>
      </c>
      <c r="X881" s="37" t="s">
        <v>85</v>
      </c>
      <c r="Y881" s="37" t="s">
        <v>531</v>
      </c>
      <c r="Z881" s="37" t="s">
        <v>90</v>
      </c>
      <c r="AA881" s="12" t="b">
        <f t="shared" si="336"/>
        <v>1</v>
      </c>
      <c r="AB881" s="12" t="b">
        <f t="shared" si="337"/>
        <v>1</v>
      </c>
      <c r="AC881" s="12" t="b">
        <f t="shared" si="338"/>
        <v>1</v>
      </c>
      <c r="AD881" s="12" t="b">
        <f t="shared" si="339"/>
        <v>1</v>
      </c>
      <c r="AE881" s="12" t="b">
        <f t="shared" si="340"/>
        <v>1</v>
      </c>
      <c r="AF881" s="12" t="b">
        <f t="shared" si="341"/>
        <v>1</v>
      </c>
    </row>
    <row r="882" spans="1:32" s="12" customFormat="1" ht="15.75" customHeight="1">
      <c r="A882" s="285"/>
      <c r="B882" s="182" t="s">
        <v>983</v>
      </c>
      <c r="C882" s="36" t="s">
        <v>100</v>
      </c>
      <c r="D882" s="37" t="s">
        <v>112</v>
      </c>
      <c r="E882" s="37" t="s">
        <v>85</v>
      </c>
      <c r="F882" s="37" t="s">
        <v>531</v>
      </c>
      <c r="G882" s="37" t="s">
        <v>142</v>
      </c>
      <c r="H882" s="183">
        <v>1500</v>
      </c>
      <c r="I882" s="183">
        <v>1500</v>
      </c>
      <c r="J882" s="183">
        <v>1500</v>
      </c>
      <c r="K882" s="183">
        <v>1500</v>
      </c>
      <c r="L882" s="183">
        <v>1500</v>
      </c>
      <c r="M882" s="183">
        <v>1500</v>
      </c>
      <c r="N882" s="183"/>
      <c r="O882" s="183">
        <v>1500</v>
      </c>
      <c r="P882" s="183">
        <v>1500</v>
      </c>
      <c r="Q882" s="183">
        <v>1500</v>
      </c>
      <c r="R882" s="472">
        <f t="shared" si="350"/>
        <v>0</v>
      </c>
      <c r="S882" s="472">
        <f t="shared" si="351"/>
        <v>0</v>
      </c>
      <c r="T882" s="472">
        <f t="shared" si="352"/>
        <v>0</v>
      </c>
      <c r="U882" s="182" t="s">
        <v>983</v>
      </c>
      <c r="V882" s="36" t="s">
        <v>100</v>
      </c>
      <c r="W882" s="37" t="s">
        <v>112</v>
      </c>
      <c r="X882" s="37" t="s">
        <v>85</v>
      </c>
      <c r="Y882" s="37" t="s">
        <v>531</v>
      </c>
      <c r="Z882" s="37" t="s">
        <v>142</v>
      </c>
      <c r="AA882" s="12" t="b">
        <f t="shared" si="336"/>
        <v>1</v>
      </c>
      <c r="AB882" s="12" t="b">
        <f t="shared" si="337"/>
        <v>1</v>
      </c>
      <c r="AC882" s="12" t="b">
        <f t="shared" si="338"/>
        <v>1</v>
      </c>
      <c r="AD882" s="12" t="b">
        <f t="shared" si="339"/>
        <v>1</v>
      </c>
      <c r="AE882" s="12" t="b">
        <f t="shared" si="340"/>
        <v>1</v>
      </c>
      <c r="AF882" s="12" t="b">
        <f t="shared" si="341"/>
        <v>1</v>
      </c>
    </row>
    <row r="883" spans="1:32" s="12" customFormat="1" ht="15.75" customHeight="1">
      <c r="A883" s="285"/>
      <c r="B883" s="182" t="s">
        <v>1130</v>
      </c>
      <c r="C883" s="36" t="s">
        <v>100</v>
      </c>
      <c r="D883" s="37" t="s">
        <v>112</v>
      </c>
      <c r="E883" s="37" t="s">
        <v>85</v>
      </c>
      <c r="F883" s="37" t="s">
        <v>1129</v>
      </c>
      <c r="G883" s="37" t="s">
        <v>90</v>
      </c>
      <c r="H883" s="183">
        <f t="shared" ref="H883:J883" si="361">H884</f>
        <v>7000</v>
      </c>
      <c r="I883" s="183">
        <f t="shared" si="361"/>
        <v>0</v>
      </c>
      <c r="J883" s="183">
        <f t="shared" si="361"/>
        <v>0</v>
      </c>
      <c r="K883" s="183">
        <v>7000</v>
      </c>
      <c r="L883" s="183">
        <v>0</v>
      </c>
      <c r="M883" s="183">
        <v>0</v>
      </c>
      <c r="N883" s="183"/>
      <c r="O883" s="183">
        <v>7000</v>
      </c>
      <c r="P883" s="183">
        <v>0</v>
      </c>
      <c r="Q883" s="183">
        <v>0</v>
      </c>
      <c r="R883" s="472">
        <f t="shared" si="350"/>
        <v>0</v>
      </c>
      <c r="S883" s="472">
        <f t="shared" si="351"/>
        <v>0</v>
      </c>
      <c r="T883" s="472">
        <f t="shared" si="352"/>
        <v>0</v>
      </c>
      <c r="U883" s="182" t="s">
        <v>1130</v>
      </c>
      <c r="V883" s="36" t="s">
        <v>100</v>
      </c>
      <c r="W883" s="37" t="s">
        <v>112</v>
      </c>
      <c r="X883" s="37" t="s">
        <v>85</v>
      </c>
      <c r="Y883" s="37" t="s">
        <v>1129</v>
      </c>
      <c r="Z883" s="37" t="s">
        <v>90</v>
      </c>
      <c r="AA883" s="12" t="b">
        <f t="shared" si="336"/>
        <v>1</v>
      </c>
      <c r="AB883" s="12" t="b">
        <f t="shared" si="337"/>
        <v>1</v>
      </c>
      <c r="AC883" s="12" t="b">
        <f t="shared" si="338"/>
        <v>1</v>
      </c>
      <c r="AD883" s="12" t="b">
        <f t="shared" si="339"/>
        <v>1</v>
      </c>
      <c r="AE883" s="12" t="b">
        <f t="shared" si="340"/>
        <v>1</v>
      </c>
      <c r="AF883" s="12" t="b">
        <f t="shared" si="341"/>
        <v>1</v>
      </c>
    </row>
    <row r="884" spans="1:32" s="12" customFormat="1" ht="15.75" customHeight="1">
      <c r="A884" s="285"/>
      <c r="B884" s="182" t="s">
        <v>983</v>
      </c>
      <c r="C884" s="36" t="s">
        <v>100</v>
      </c>
      <c r="D884" s="37" t="s">
        <v>112</v>
      </c>
      <c r="E884" s="37" t="s">
        <v>85</v>
      </c>
      <c r="F884" s="37" t="s">
        <v>1129</v>
      </c>
      <c r="G884" s="37" t="s">
        <v>142</v>
      </c>
      <c r="H884" s="183">
        <v>7000</v>
      </c>
      <c r="I884" s="183">
        <v>0</v>
      </c>
      <c r="J884" s="183">
        <v>0</v>
      </c>
      <c r="K884" s="183">
        <v>7000</v>
      </c>
      <c r="L884" s="183">
        <v>0</v>
      </c>
      <c r="M884" s="183">
        <v>0</v>
      </c>
      <c r="N884" s="183"/>
      <c r="O884" s="183">
        <v>7000</v>
      </c>
      <c r="P884" s="183">
        <v>0</v>
      </c>
      <c r="Q884" s="183">
        <v>0</v>
      </c>
      <c r="R884" s="472">
        <f t="shared" si="350"/>
        <v>0</v>
      </c>
      <c r="S884" s="472">
        <f t="shared" si="351"/>
        <v>0</v>
      </c>
      <c r="T884" s="472">
        <f t="shared" si="352"/>
        <v>0</v>
      </c>
      <c r="U884" s="182" t="s">
        <v>983</v>
      </c>
      <c r="V884" s="36" t="s">
        <v>100</v>
      </c>
      <c r="W884" s="37" t="s">
        <v>112</v>
      </c>
      <c r="X884" s="37" t="s">
        <v>85</v>
      </c>
      <c r="Y884" s="37" t="s">
        <v>1129</v>
      </c>
      <c r="Z884" s="37" t="s">
        <v>142</v>
      </c>
      <c r="AA884" s="12" t="b">
        <f t="shared" ref="AA884:AA947" si="362">B884=U884</f>
        <v>1</v>
      </c>
      <c r="AB884" s="12" t="b">
        <f t="shared" ref="AB884:AB947" si="363">C884=V884</f>
        <v>1</v>
      </c>
      <c r="AC884" s="12" t="b">
        <f t="shared" ref="AC884:AC947" si="364">D884=W884</f>
        <v>1</v>
      </c>
      <c r="AD884" s="12" t="b">
        <f t="shared" ref="AD884:AD947" si="365">E884=X884</f>
        <v>1</v>
      </c>
      <c r="AE884" s="12" t="b">
        <f t="shared" ref="AE884:AE947" si="366">F884=Y884</f>
        <v>1</v>
      </c>
      <c r="AF884" s="12" t="b">
        <f t="shared" ref="AF884:AF947" si="367">G884=Z884</f>
        <v>1</v>
      </c>
    </row>
    <row r="885" spans="1:32" s="12" customFormat="1" ht="15.75" customHeight="1">
      <c r="A885" s="285"/>
      <c r="B885" s="32" t="s">
        <v>116</v>
      </c>
      <c r="C885" s="33" t="s">
        <v>100</v>
      </c>
      <c r="D885" s="34" t="s">
        <v>112</v>
      </c>
      <c r="E885" s="34" t="s">
        <v>7</v>
      </c>
      <c r="F885" s="34" t="s">
        <v>223</v>
      </c>
      <c r="G885" s="34" t="s">
        <v>90</v>
      </c>
      <c r="H885" s="35">
        <f t="shared" ref="H885:J886" si="368">H886</f>
        <v>22656.49</v>
      </c>
      <c r="I885" s="35">
        <f t="shared" si="368"/>
        <v>22656.49</v>
      </c>
      <c r="J885" s="35">
        <f t="shared" si="368"/>
        <v>22656.49</v>
      </c>
      <c r="K885" s="35">
        <v>22656.49</v>
      </c>
      <c r="L885" s="35">
        <v>22656.49</v>
      </c>
      <c r="M885" s="35">
        <v>22656.49</v>
      </c>
      <c r="N885" s="35"/>
      <c r="O885" s="35">
        <v>22641.440000000002</v>
      </c>
      <c r="P885" s="35">
        <v>22641.440000000002</v>
      </c>
      <c r="Q885" s="35">
        <v>22641.440000000002</v>
      </c>
      <c r="R885" s="472">
        <f t="shared" si="350"/>
        <v>15.049999999999272</v>
      </c>
      <c r="S885" s="472">
        <f t="shared" si="351"/>
        <v>15.049999999999272</v>
      </c>
      <c r="T885" s="472">
        <f t="shared" si="352"/>
        <v>15.049999999999272</v>
      </c>
      <c r="U885" s="32" t="s">
        <v>116</v>
      </c>
      <c r="V885" s="33" t="s">
        <v>100</v>
      </c>
      <c r="W885" s="34" t="s">
        <v>112</v>
      </c>
      <c r="X885" s="34" t="s">
        <v>7</v>
      </c>
      <c r="Y885" s="34" t="s">
        <v>223</v>
      </c>
      <c r="Z885" s="34" t="s">
        <v>90</v>
      </c>
      <c r="AA885" s="12" t="b">
        <f t="shared" si="362"/>
        <v>1</v>
      </c>
      <c r="AB885" s="12" t="b">
        <f t="shared" si="363"/>
        <v>1</v>
      </c>
      <c r="AC885" s="12" t="b">
        <f t="shared" si="364"/>
        <v>1</v>
      </c>
      <c r="AD885" s="12" t="b">
        <f t="shared" si="365"/>
        <v>1</v>
      </c>
      <c r="AE885" s="12" t="b">
        <f t="shared" si="366"/>
        <v>1</v>
      </c>
      <c r="AF885" s="12" t="b">
        <f t="shared" si="367"/>
        <v>1</v>
      </c>
    </row>
    <row r="886" spans="1:32" s="12" customFormat="1" ht="15.75" customHeight="1">
      <c r="A886" s="285"/>
      <c r="B886" s="182" t="s">
        <v>615</v>
      </c>
      <c r="C886" s="36" t="s">
        <v>100</v>
      </c>
      <c r="D886" s="37" t="s">
        <v>112</v>
      </c>
      <c r="E886" s="37" t="s">
        <v>7</v>
      </c>
      <c r="F886" s="37" t="s">
        <v>421</v>
      </c>
      <c r="G886" s="37" t="s">
        <v>90</v>
      </c>
      <c r="H886" s="183">
        <f t="shared" si="368"/>
        <v>22656.49</v>
      </c>
      <c r="I886" s="183">
        <f t="shared" si="368"/>
        <v>22656.49</v>
      </c>
      <c r="J886" s="183">
        <f t="shared" si="368"/>
        <v>22656.49</v>
      </c>
      <c r="K886" s="183">
        <v>22656.49</v>
      </c>
      <c r="L886" s="183">
        <v>22656.49</v>
      </c>
      <c r="M886" s="183">
        <v>22656.49</v>
      </c>
      <c r="N886" s="183"/>
      <c r="O886" s="183">
        <v>22641.440000000002</v>
      </c>
      <c r="P886" s="183">
        <v>22641.440000000002</v>
      </c>
      <c r="Q886" s="183">
        <v>22641.440000000002</v>
      </c>
      <c r="R886" s="472">
        <f t="shared" si="350"/>
        <v>15.049999999999272</v>
      </c>
      <c r="S886" s="472">
        <f t="shared" si="351"/>
        <v>15.049999999999272</v>
      </c>
      <c r="T886" s="472">
        <f t="shared" si="352"/>
        <v>15.049999999999272</v>
      </c>
      <c r="U886" s="182" t="s">
        <v>615</v>
      </c>
      <c r="V886" s="36" t="s">
        <v>100</v>
      </c>
      <c r="W886" s="37" t="s">
        <v>112</v>
      </c>
      <c r="X886" s="37" t="s">
        <v>7</v>
      </c>
      <c r="Y886" s="37" t="s">
        <v>421</v>
      </c>
      <c r="Z886" s="37" t="s">
        <v>90</v>
      </c>
      <c r="AA886" s="12" t="b">
        <f t="shared" si="362"/>
        <v>1</v>
      </c>
      <c r="AB886" s="12" t="b">
        <f t="shared" si="363"/>
        <v>1</v>
      </c>
      <c r="AC886" s="12" t="b">
        <f t="shared" si="364"/>
        <v>1</v>
      </c>
      <c r="AD886" s="12" t="b">
        <f t="shared" si="365"/>
        <v>1</v>
      </c>
      <c r="AE886" s="12" t="b">
        <f t="shared" si="366"/>
        <v>1</v>
      </c>
      <c r="AF886" s="12" t="b">
        <f t="shared" si="367"/>
        <v>1</v>
      </c>
    </row>
    <row r="887" spans="1:32" s="12" customFormat="1" ht="15.75" customHeight="1">
      <c r="A887" s="285"/>
      <c r="B887" s="182" t="s">
        <v>616</v>
      </c>
      <c r="C887" s="36" t="s">
        <v>100</v>
      </c>
      <c r="D887" s="37" t="s">
        <v>112</v>
      </c>
      <c r="E887" s="37" t="s">
        <v>7</v>
      </c>
      <c r="F887" s="37" t="s">
        <v>422</v>
      </c>
      <c r="G887" s="37" t="s">
        <v>90</v>
      </c>
      <c r="H887" s="183">
        <f>H888+H892+H894</f>
        <v>22656.49</v>
      </c>
      <c r="I887" s="183">
        <f t="shared" ref="I887:J887" si="369">I888+I892+I894</f>
        <v>22656.49</v>
      </c>
      <c r="J887" s="183">
        <f t="shared" si="369"/>
        <v>22656.49</v>
      </c>
      <c r="K887" s="183">
        <v>22656.49</v>
      </c>
      <c r="L887" s="183">
        <v>22656.49</v>
      </c>
      <c r="M887" s="183">
        <v>22656.49</v>
      </c>
      <c r="N887" s="183"/>
      <c r="O887" s="183">
        <v>22641.440000000002</v>
      </c>
      <c r="P887" s="183">
        <v>22641.440000000002</v>
      </c>
      <c r="Q887" s="183">
        <v>22641.440000000002</v>
      </c>
      <c r="R887" s="472">
        <f t="shared" si="350"/>
        <v>15.049999999999272</v>
      </c>
      <c r="S887" s="472">
        <f t="shared" si="351"/>
        <v>15.049999999999272</v>
      </c>
      <c r="T887" s="472">
        <f t="shared" si="352"/>
        <v>15.049999999999272</v>
      </c>
      <c r="U887" s="182" t="s">
        <v>616</v>
      </c>
      <c r="V887" s="36" t="s">
        <v>100</v>
      </c>
      <c r="W887" s="37" t="s">
        <v>112</v>
      </c>
      <c r="X887" s="37" t="s">
        <v>7</v>
      </c>
      <c r="Y887" s="37" t="s">
        <v>422</v>
      </c>
      <c r="Z887" s="37" t="s">
        <v>90</v>
      </c>
      <c r="AA887" s="12" t="b">
        <f t="shared" si="362"/>
        <v>1</v>
      </c>
      <c r="AB887" s="12" t="b">
        <f t="shared" si="363"/>
        <v>1</v>
      </c>
      <c r="AC887" s="12" t="b">
        <f t="shared" si="364"/>
        <v>1</v>
      </c>
      <c r="AD887" s="12" t="b">
        <f t="shared" si="365"/>
        <v>1</v>
      </c>
      <c r="AE887" s="12" t="b">
        <f t="shared" si="366"/>
        <v>1</v>
      </c>
      <c r="AF887" s="12" t="b">
        <f t="shared" si="367"/>
        <v>1</v>
      </c>
    </row>
    <row r="888" spans="1:32" s="12" customFormat="1" ht="15.75" customHeight="1">
      <c r="A888" s="285"/>
      <c r="B888" s="182" t="s">
        <v>151</v>
      </c>
      <c r="C888" s="36" t="s">
        <v>100</v>
      </c>
      <c r="D888" s="37" t="s">
        <v>112</v>
      </c>
      <c r="E888" s="37" t="s">
        <v>7</v>
      </c>
      <c r="F888" s="37" t="s">
        <v>423</v>
      </c>
      <c r="G888" s="37" t="s">
        <v>90</v>
      </c>
      <c r="H888" s="183">
        <f>SUM(H889:H891)</f>
        <v>755.37</v>
      </c>
      <c r="I888" s="183">
        <f>SUM(I889:I891)</f>
        <v>755.37</v>
      </c>
      <c r="J888" s="183">
        <f>SUM(J889:J891)</f>
        <v>755.37</v>
      </c>
      <c r="K888" s="183">
        <v>755.37</v>
      </c>
      <c r="L888" s="183">
        <v>755.37</v>
      </c>
      <c r="M888" s="183">
        <v>755.37</v>
      </c>
      <c r="N888" s="183"/>
      <c r="O888" s="183">
        <v>755.37</v>
      </c>
      <c r="P888" s="183">
        <v>755.37</v>
      </c>
      <c r="Q888" s="183">
        <v>755.37</v>
      </c>
      <c r="R888" s="472">
        <f t="shared" si="350"/>
        <v>0</v>
      </c>
      <c r="S888" s="472">
        <f t="shared" si="351"/>
        <v>0</v>
      </c>
      <c r="T888" s="472">
        <f t="shared" si="352"/>
        <v>0</v>
      </c>
      <c r="U888" s="182" t="s">
        <v>151</v>
      </c>
      <c r="V888" s="36" t="s">
        <v>100</v>
      </c>
      <c r="W888" s="37" t="s">
        <v>112</v>
      </c>
      <c r="X888" s="37" t="s">
        <v>7</v>
      </c>
      <c r="Y888" s="37" t="s">
        <v>423</v>
      </c>
      <c r="Z888" s="37" t="s">
        <v>90</v>
      </c>
      <c r="AA888" s="12" t="b">
        <f t="shared" si="362"/>
        <v>1</v>
      </c>
      <c r="AB888" s="12" t="b">
        <f t="shared" si="363"/>
        <v>1</v>
      </c>
      <c r="AC888" s="12" t="b">
        <f t="shared" si="364"/>
        <v>1</v>
      </c>
      <c r="AD888" s="12" t="b">
        <f t="shared" si="365"/>
        <v>1</v>
      </c>
      <c r="AE888" s="12" t="b">
        <f t="shared" si="366"/>
        <v>1</v>
      </c>
      <c r="AF888" s="12" t="b">
        <f t="shared" si="367"/>
        <v>1</v>
      </c>
    </row>
    <row r="889" spans="1:32" s="12" customFormat="1" ht="15.75" customHeight="1">
      <c r="A889" s="285"/>
      <c r="B889" s="182" t="s">
        <v>144</v>
      </c>
      <c r="C889" s="36" t="s">
        <v>100</v>
      </c>
      <c r="D889" s="37" t="s">
        <v>112</v>
      </c>
      <c r="E889" s="37" t="s">
        <v>7</v>
      </c>
      <c r="F889" s="37" t="s">
        <v>423</v>
      </c>
      <c r="G889" s="37" t="s">
        <v>152</v>
      </c>
      <c r="H889" s="183">
        <v>202.21</v>
      </c>
      <c r="I889" s="183">
        <v>202.21</v>
      </c>
      <c r="J889" s="183">
        <v>202.21</v>
      </c>
      <c r="K889" s="183">
        <v>202.21</v>
      </c>
      <c r="L889" s="183">
        <v>202.21</v>
      </c>
      <c r="M889" s="183">
        <v>202.21</v>
      </c>
      <c r="N889" s="183"/>
      <c r="O889" s="183">
        <v>202.21</v>
      </c>
      <c r="P889" s="183">
        <v>202.21</v>
      </c>
      <c r="Q889" s="183">
        <v>202.21</v>
      </c>
      <c r="R889" s="472">
        <f t="shared" si="350"/>
        <v>0</v>
      </c>
      <c r="S889" s="472">
        <f t="shared" si="351"/>
        <v>0</v>
      </c>
      <c r="T889" s="472">
        <f t="shared" si="352"/>
        <v>0</v>
      </c>
      <c r="U889" s="182" t="s">
        <v>144</v>
      </c>
      <c r="V889" s="36" t="s">
        <v>100</v>
      </c>
      <c r="W889" s="37" t="s">
        <v>112</v>
      </c>
      <c r="X889" s="37" t="s">
        <v>7</v>
      </c>
      <c r="Y889" s="37" t="s">
        <v>423</v>
      </c>
      <c r="Z889" s="37" t="s">
        <v>152</v>
      </c>
      <c r="AA889" s="12" t="b">
        <f t="shared" si="362"/>
        <v>1</v>
      </c>
      <c r="AB889" s="12" t="b">
        <f t="shared" si="363"/>
        <v>1</v>
      </c>
      <c r="AC889" s="12" t="b">
        <f t="shared" si="364"/>
        <v>1</v>
      </c>
      <c r="AD889" s="12" t="b">
        <f t="shared" si="365"/>
        <v>1</v>
      </c>
      <c r="AE889" s="12" t="b">
        <f t="shared" si="366"/>
        <v>1</v>
      </c>
      <c r="AF889" s="12" t="b">
        <f t="shared" si="367"/>
        <v>1</v>
      </c>
    </row>
    <row r="890" spans="1:32" s="12" customFormat="1" ht="15.75" customHeight="1">
      <c r="A890" s="285"/>
      <c r="B890" s="182" t="s">
        <v>145</v>
      </c>
      <c r="C890" s="36" t="s">
        <v>100</v>
      </c>
      <c r="D890" s="37" t="s">
        <v>112</v>
      </c>
      <c r="E890" s="37" t="s">
        <v>7</v>
      </c>
      <c r="F890" s="37" t="s">
        <v>423</v>
      </c>
      <c r="G890" s="37" t="s">
        <v>153</v>
      </c>
      <c r="H890" s="183">
        <v>551.04</v>
      </c>
      <c r="I890" s="183">
        <v>551.04</v>
      </c>
      <c r="J890" s="183">
        <v>551.04</v>
      </c>
      <c r="K890" s="183">
        <v>551.04</v>
      </c>
      <c r="L890" s="183">
        <v>551.04</v>
      </c>
      <c r="M890" s="183">
        <v>551.04</v>
      </c>
      <c r="N890" s="183"/>
      <c r="O890" s="183">
        <v>551.04</v>
      </c>
      <c r="P890" s="183">
        <v>551.04</v>
      </c>
      <c r="Q890" s="183">
        <v>551.04</v>
      </c>
      <c r="R890" s="472">
        <f t="shared" si="350"/>
        <v>0</v>
      </c>
      <c r="S890" s="472">
        <f t="shared" si="351"/>
        <v>0</v>
      </c>
      <c r="T890" s="472">
        <f t="shared" si="352"/>
        <v>0</v>
      </c>
      <c r="U890" s="182" t="s">
        <v>145</v>
      </c>
      <c r="V890" s="36" t="s">
        <v>100</v>
      </c>
      <c r="W890" s="37" t="s">
        <v>112</v>
      </c>
      <c r="X890" s="37" t="s">
        <v>7</v>
      </c>
      <c r="Y890" s="37" t="s">
        <v>423</v>
      </c>
      <c r="Z890" s="37" t="s">
        <v>153</v>
      </c>
      <c r="AA890" s="12" t="b">
        <f t="shared" si="362"/>
        <v>1</v>
      </c>
      <c r="AB890" s="12" t="b">
        <f t="shared" si="363"/>
        <v>1</v>
      </c>
      <c r="AC890" s="12" t="b">
        <f t="shared" si="364"/>
        <v>1</v>
      </c>
      <c r="AD890" s="12" t="b">
        <f t="shared" si="365"/>
        <v>1</v>
      </c>
      <c r="AE890" s="12" t="b">
        <f t="shared" si="366"/>
        <v>1</v>
      </c>
      <c r="AF890" s="12" t="b">
        <f t="shared" si="367"/>
        <v>1</v>
      </c>
    </row>
    <row r="891" spans="1:32" s="12" customFormat="1" ht="15.75" customHeight="1">
      <c r="A891" s="285"/>
      <c r="B891" s="182" t="s">
        <v>137</v>
      </c>
      <c r="C891" s="36" t="s">
        <v>100</v>
      </c>
      <c r="D891" s="37" t="s">
        <v>112</v>
      </c>
      <c r="E891" s="37" t="s">
        <v>7</v>
      </c>
      <c r="F891" s="37" t="s">
        <v>423</v>
      </c>
      <c r="G891" s="37" t="s">
        <v>155</v>
      </c>
      <c r="H891" s="183">
        <v>2.12</v>
      </c>
      <c r="I891" s="183">
        <v>2.12</v>
      </c>
      <c r="J891" s="183">
        <v>2.12</v>
      </c>
      <c r="K891" s="183">
        <v>2.12</v>
      </c>
      <c r="L891" s="183">
        <v>2.12</v>
      </c>
      <c r="M891" s="183">
        <v>2.12</v>
      </c>
      <c r="N891" s="183"/>
      <c r="O891" s="183">
        <v>2.12</v>
      </c>
      <c r="P891" s="183">
        <v>2.12</v>
      </c>
      <c r="Q891" s="183">
        <v>2.12</v>
      </c>
      <c r="R891" s="472">
        <f t="shared" si="350"/>
        <v>0</v>
      </c>
      <c r="S891" s="472">
        <f t="shared" si="351"/>
        <v>0</v>
      </c>
      <c r="T891" s="472">
        <f t="shared" si="352"/>
        <v>0</v>
      </c>
      <c r="U891" s="182" t="s">
        <v>137</v>
      </c>
      <c r="V891" s="36" t="s">
        <v>100</v>
      </c>
      <c r="W891" s="37" t="s">
        <v>112</v>
      </c>
      <c r="X891" s="37" t="s">
        <v>7</v>
      </c>
      <c r="Y891" s="37" t="s">
        <v>423</v>
      </c>
      <c r="Z891" s="37" t="s">
        <v>155</v>
      </c>
      <c r="AA891" s="12" t="b">
        <f t="shared" si="362"/>
        <v>1</v>
      </c>
      <c r="AB891" s="12" t="b">
        <f t="shared" si="363"/>
        <v>1</v>
      </c>
      <c r="AC891" s="12" t="b">
        <f t="shared" si="364"/>
        <v>1</v>
      </c>
      <c r="AD891" s="12" t="b">
        <f t="shared" si="365"/>
        <v>1</v>
      </c>
      <c r="AE891" s="12" t="b">
        <f t="shared" si="366"/>
        <v>1</v>
      </c>
      <c r="AF891" s="12" t="b">
        <f t="shared" si="367"/>
        <v>1</v>
      </c>
    </row>
    <row r="892" spans="1:32" s="12" customFormat="1" ht="15.75" customHeight="1">
      <c r="A892" s="285"/>
      <c r="B892" s="182" t="s">
        <v>161</v>
      </c>
      <c r="C892" s="36" t="s">
        <v>100</v>
      </c>
      <c r="D892" s="37" t="s">
        <v>112</v>
      </c>
      <c r="E892" s="37" t="s">
        <v>7</v>
      </c>
      <c r="F892" s="37" t="s">
        <v>424</v>
      </c>
      <c r="G892" s="37" t="s">
        <v>90</v>
      </c>
      <c r="H892" s="183">
        <f>H893</f>
        <v>10277.700000000001</v>
      </c>
      <c r="I892" s="183">
        <f>I893</f>
        <v>10277.700000000001</v>
      </c>
      <c r="J892" s="183">
        <f>J893</f>
        <v>10277.700000000001</v>
      </c>
      <c r="K892" s="183">
        <v>10277.700000000001</v>
      </c>
      <c r="L892" s="183">
        <v>10277.700000000001</v>
      </c>
      <c r="M892" s="183">
        <v>10277.700000000001</v>
      </c>
      <c r="N892" s="183"/>
      <c r="O892" s="183">
        <v>10277.700000000001</v>
      </c>
      <c r="P892" s="183">
        <v>10277.700000000001</v>
      </c>
      <c r="Q892" s="183">
        <v>10277.700000000001</v>
      </c>
      <c r="R892" s="472">
        <f t="shared" si="350"/>
        <v>0</v>
      </c>
      <c r="S892" s="472">
        <f t="shared" si="351"/>
        <v>0</v>
      </c>
      <c r="T892" s="472">
        <f t="shared" si="352"/>
        <v>0</v>
      </c>
      <c r="U892" s="182" t="s">
        <v>161</v>
      </c>
      <c r="V892" s="36" t="s">
        <v>100</v>
      </c>
      <c r="W892" s="37" t="s">
        <v>112</v>
      </c>
      <c r="X892" s="37" t="s">
        <v>7</v>
      </c>
      <c r="Y892" s="37" t="s">
        <v>424</v>
      </c>
      <c r="Z892" s="37" t="s">
        <v>90</v>
      </c>
      <c r="AA892" s="12" t="b">
        <f t="shared" si="362"/>
        <v>1</v>
      </c>
      <c r="AB892" s="12" t="b">
        <f t="shared" si="363"/>
        <v>1</v>
      </c>
      <c r="AC892" s="12" t="b">
        <f t="shared" si="364"/>
        <v>1</v>
      </c>
      <c r="AD892" s="12" t="b">
        <f t="shared" si="365"/>
        <v>1</v>
      </c>
      <c r="AE892" s="12" t="b">
        <f t="shared" si="366"/>
        <v>1</v>
      </c>
      <c r="AF892" s="12" t="b">
        <f t="shared" si="367"/>
        <v>1</v>
      </c>
    </row>
    <row r="893" spans="1:32" s="12" customFormat="1" ht="15.75" customHeight="1">
      <c r="A893" s="285"/>
      <c r="B893" s="54" t="s">
        <v>144</v>
      </c>
      <c r="C893" s="56" t="s">
        <v>100</v>
      </c>
      <c r="D893" s="57" t="s">
        <v>112</v>
      </c>
      <c r="E893" s="57" t="s">
        <v>7</v>
      </c>
      <c r="F893" s="57" t="s">
        <v>424</v>
      </c>
      <c r="G893" s="57" t="s">
        <v>152</v>
      </c>
      <c r="H893" s="58">
        <v>10277.700000000001</v>
      </c>
      <c r="I893" s="58">
        <v>10277.700000000001</v>
      </c>
      <c r="J893" s="58">
        <v>10277.700000000001</v>
      </c>
      <c r="K893" s="58">
        <v>10277.700000000001</v>
      </c>
      <c r="L893" s="58">
        <v>10277.700000000001</v>
      </c>
      <c r="M893" s="58">
        <v>10277.700000000001</v>
      </c>
      <c r="N893" s="58"/>
      <c r="O893" s="58">
        <v>10277.700000000001</v>
      </c>
      <c r="P893" s="58">
        <v>10277.700000000001</v>
      </c>
      <c r="Q893" s="58">
        <v>10277.700000000001</v>
      </c>
      <c r="R893" s="472">
        <f t="shared" si="350"/>
        <v>0</v>
      </c>
      <c r="S893" s="472">
        <f t="shared" si="351"/>
        <v>0</v>
      </c>
      <c r="T893" s="472">
        <f t="shared" si="352"/>
        <v>0</v>
      </c>
      <c r="U893" s="54" t="s">
        <v>144</v>
      </c>
      <c r="V893" s="56" t="s">
        <v>100</v>
      </c>
      <c r="W893" s="57" t="s">
        <v>112</v>
      </c>
      <c r="X893" s="57" t="s">
        <v>7</v>
      </c>
      <c r="Y893" s="57" t="s">
        <v>424</v>
      </c>
      <c r="Z893" s="57" t="s">
        <v>152</v>
      </c>
      <c r="AA893" s="12" t="b">
        <f t="shared" si="362"/>
        <v>1</v>
      </c>
      <c r="AB893" s="12" t="b">
        <f t="shared" si="363"/>
        <v>1</v>
      </c>
      <c r="AC893" s="12" t="b">
        <f t="shared" si="364"/>
        <v>1</v>
      </c>
      <c r="AD893" s="12" t="b">
        <f t="shared" si="365"/>
        <v>1</v>
      </c>
      <c r="AE893" s="12" t="b">
        <f t="shared" si="366"/>
        <v>1</v>
      </c>
      <c r="AF893" s="12" t="b">
        <f t="shared" si="367"/>
        <v>1</v>
      </c>
    </row>
    <row r="894" spans="1:32" s="12" customFormat="1" ht="15.75" customHeight="1">
      <c r="A894" s="285"/>
      <c r="B894" s="178" t="s">
        <v>254</v>
      </c>
      <c r="C894" s="36" t="s">
        <v>100</v>
      </c>
      <c r="D894" s="37" t="s">
        <v>112</v>
      </c>
      <c r="E894" s="37" t="s">
        <v>7</v>
      </c>
      <c r="F894" s="239" t="s">
        <v>791</v>
      </c>
      <c r="G894" s="239" t="s">
        <v>90</v>
      </c>
      <c r="H894" s="183">
        <f>SUM(H895:H896)</f>
        <v>11623.42</v>
      </c>
      <c r="I894" s="183">
        <f>SUM(I895:I896)</f>
        <v>11623.42</v>
      </c>
      <c r="J894" s="183">
        <f>SUM(J895:J896)</f>
        <v>11623.42</v>
      </c>
      <c r="K894" s="183">
        <v>11623.42</v>
      </c>
      <c r="L894" s="183">
        <v>11623.42</v>
      </c>
      <c r="M894" s="183">
        <v>11623.42</v>
      </c>
      <c r="N894" s="183"/>
      <c r="O894" s="183">
        <v>11608.37</v>
      </c>
      <c r="P894" s="183">
        <v>11608.37</v>
      </c>
      <c r="Q894" s="183">
        <v>11608.37</v>
      </c>
      <c r="R894" s="472">
        <f t="shared" si="350"/>
        <v>15.049999999999272</v>
      </c>
      <c r="S894" s="472">
        <f t="shared" si="351"/>
        <v>15.049999999999272</v>
      </c>
      <c r="T894" s="472">
        <f t="shared" si="352"/>
        <v>15.049999999999272</v>
      </c>
      <c r="U894" s="178" t="s">
        <v>254</v>
      </c>
      <c r="V894" s="36" t="s">
        <v>100</v>
      </c>
      <c r="W894" s="37" t="s">
        <v>112</v>
      </c>
      <c r="X894" s="37" t="s">
        <v>7</v>
      </c>
      <c r="Y894" s="239" t="s">
        <v>791</v>
      </c>
      <c r="Z894" s="239" t="s">
        <v>90</v>
      </c>
      <c r="AA894" s="12" t="b">
        <f t="shared" si="362"/>
        <v>1</v>
      </c>
      <c r="AB894" s="12" t="b">
        <f t="shared" si="363"/>
        <v>1</v>
      </c>
      <c r="AC894" s="12" t="b">
        <f t="shared" si="364"/>
        <v>1</v>
      </c>
      <c r="AD894" s="12" t="b">
        <f t="shared" si="365"/>
        <v>1</v>
      </c>
      <c r="AE894" s="12" t="b">
        <f t="shared" si="366"/>
        <v>1</v>
      </c>
      <c r="AF894" s="12" t="b">
        <f t="shared" si="367"/>
        <v>1</v>
      </c>
    </row>
    <row r="895" spans="1:32" s="12" customFormat="1" ht="15.75" customHeight="1">
      <c r="A895" s="285"/>
      <c r="B895" s="253" t="s">
        <v>143</v>
      </c>
      <c r="C895" s="56" t="s">
        <v>100</v>
      </c>
      <c r="D895" s="57" t="s">
        <v>112</v>
      </c>
      <c r="E895" s="57" t="s">
        <v>7</v>
      </c>
      <c r="F895" s="257" t="s">
        <v>791</v>
      </c>
      <c r="G895" s="257" t="s">
        <v>157</v>
      </c>
      <c r="H895" s="58">
        <f>10468.37+15.05</f>
        <v>10483.42</v>
      </c>
      <c r="I895" s="58">
        <f t="shared" ref="I895:J895" si="370">10468.37+15.05</f>
        <v>10483.42</v>
      </c>
      <c r="J895" s="58">
        <f t="shared" si="370"/>
        <v>10483.42</v>
      </c>
      <c r="K895" s="58">
        <v>10483.42</v>
      </c>
      <c r="L895" s="58">
        <v>10483.42</v>
      </c>
      <c r="M895" s="58">
        <v>10483.42</v>
      </c>
      <c r="N895" s="58"/>
      <c r="O895" s="58">
        <v>10468.370000000001</v>
      </c>
      <c r="P895" s="58">
        <v>10468.370000000001</v>
      </c>
      <c r="Q895" s="58">
        <v>10468.370000000001</v>
      </c>
      <c r="R895" s="472">
        <f t="shared" si="350"/>
        <v>15.049999999999272</v>
      </c>
      <c r="S895" s="472">
        <f t="shared" si="351"/>
        <v>15.049999999999272</v>
      </c>
      <c r="T895" s="472">
        <f t="shared" si="352"/>
        <v>15.049999999999272</v>
      </c>
      <c r="U895" s="253" t="s">
        <v>143</v>
      </c>
      <c r="V895" s="56" t="s">
        <v>100</v>
      </c>
      <c r="W895" s="57" t="s">
        <v>112</v>
      </c>
      <c r="X895" s="57" t="s">
        <v>7</v>
      </c>
      <c r="Y895" s="257" t="s">
        <v>791</v>
      </c>
      <c r="Z895" s="257" t="s">
        <v>157</v>
      </c>
      <c r="AA895" s="12" t="b">
        <f t="shared" si="362"/>
        <v>1</v>
      </c>
      <c r="AB895" s="12" t="b">
        <f t="shared" si="363"/>
        <v>1</v>
      </c>
      <c r="AC895" s="12" t="b">
        <f t="shared" si="364"/>
        <v>1</v>
      </c>
      <c r="AD895" s="12" t="b">
        <f t="shared" si="365"/>
        <v>1</v>
      </c>
      <c r="AE895" s="12" t="b">
        <f t="shared" si="366"/>
        <v>1</v>
      </c>
      <c r="AF895" s="12" t="b">
        <f t="shared" si="367"/>
        <v>1</v>
      </c>
    </row>
    <row r="896" spans="1:32" s="12" customFormat="1" ht="15.75" customHeight="1">
      <c r="A896" s="285"/>
      <c r="B896" s="182" t="s">
        <v>145</v>
      </c>
      <c r="C896" s="36" t="s">
        <v>100</v>
      </c>
      <c r="D896" s="37" t="s">
        <v>112</v>
      </c>
      <c r="E896" s="37" t="s">
        <v>7</v>
      </c>
      <c r="F896" s="239" t="s">
        <v>791</v>
      </c>
      <c r="G896" s="239" t="s">
        <v>153</v>
      </c>
      <c r="H896" s="183">
        <v>1140</v>
      </c>
      <c r="I896" s="183">
        <v>1140</v>
      </c>
      <c r="J896" s="183">
        <v>1140</v>
      </c>
      <c r="K896" s="183">
        <v>1140</v>
      </c>
      <c r="L896" s="183">
        <v>1140</v>
      </c>
      <c r="M896" s="183">
        <v>1140</v>
      </c>
      <c r="N896" s="183"/>
      <c r="O896" s="183">
        <v>1140</v>
      </c>
      <c r="P896" s="183">
        <v>1140</v>
      </c>
      <c r="Q896" s="183">
        <v>1140</v>
      </c>
      <c r="R896" s="472">
        <f t="shared" si="350"/>
        <v>0</v>
      </c>
      <c r="S896" s="472">
        <f t="shared" si="351"/>
        <v>0</v>
      </c>
      <c r="T896" s="472">
        <f t="shared" si="352"/>
        <v>0</v>
      </c>
      <c r="U896" s="182" t="s">
        <v>145</v>
      </c>
      <c r="V896" s="36" t="s">
        <v>100</v>
      </c>
      <c r="W896" s="37" t="s">
        <v>112</v>
      </c>
      <c r="X896" s="37" t="s">
        <v>7</v>
      </c>
      <c r="Y896" s="239" t="s">
        <v>791</v>
      </c>
      <c r="Z896" s="239" t="s">
        <v>153</v>
      </c>
      <c r="AA896" s="12" t="b">
        <f t="shared" si="362"/>
        <v>1</v>
      </c>
      <c r="AB896" s="12" t="b">
        <f t="shared" si="363"/>
        <v>1</v>
      </c>
      <c r="AC896" s="12" t="b">
        <f t="shared" si="364"/>
        <v>1</v>
      </c>
      <c r="AD896" s="12" t="b">
        <f t="shared" si="365"/>
        <v>1</v>
      </c>
      <c r="AE896" s="12" t="b">
        <f t="shared" si="366"/>
        <v>1</v>
      </c>
      <c r="AF896" s="12" t="b">
        <f t="shared" si="367"/>
        <v>1</v>
      </c>
    </row>
    <row r="897" spans="1:32" s="12" customFormat="1" ht="15.75" customHeight="1">
      <c r="A897" s="285"/>
      <c r="B897" s="54"/>
      <c r="C897" s="56"/>
      <c r="D897" s="57"/>
      <c r="E897" s="57"/>
      <c r="F897" s="57"/>
      <c r="G897" s="57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472">
        <f t="shared" si="350"/>
        <v>0</v>
      </c>
      <c r="S897" s="472">
        <f t="shared" si="351"/>
        <v>0</v>
      </c>
      <c r="T897" s="472">
        <f t="shared" si="352"/>
        <v>0</v>
      </c>
      <c r="U897" s="54"/>
      <c r="V897" s="56"/>
      <c r="W897" s="57"/>
      <c r="X897" s="57"/>
      <c r="Y897" s="57"/>
      <c r="Z897" s="57"/>
      <c r="AA897" s="12" t="b">
        <f t="shared" si="362"/>
        <v>1</v>
      </c>
      <c r="AB897" s="12" t="b">
        <f t="shared" si="363"/>
        <v>1</v>
      </c>
      <c r="AC897" s="12" t="b">
        <f t="shared" si="364"/>
        <v>1</v>
      </c>
      <c r="AD897" s="12" t="b">
        <f t="shared" si="365"/>
        <v>1</v>
      </c>
      <c r="AE897" s="12" t="b">
        <f t="shared" si="366"/>
        <v>1</v>
      </c>
      <c r="AF897" s="12" t="b">
        <f t="shared" si="367"/>
        <v>1</v>
      </c>
    </row>
    <row r="898" spans="1:32" s="12" customFormat="1" ht="15.75" customHeight="1">
      <c r="A898" s="285"/>
      <c r="B898" s="42" t="s">
        <v>4</v>
      </c>
      <c r="C898" s="25" t="s">
        <v>5</v>
      </c>
      <c r="D898" s="26" t="s">
        <v>83</v>
      </c>
      <c r="E898" s="26" t="s">
        <v>83</v>
      </c>
      <c r="F898" s="26" t="s">
        <v>223</v>
      </c>
      <c r="G898" s="26" t="s">
        <v>90</v>
      </c>
      <c r="H898" s="43">
        <f>H899+H926+H935+H960</f>
        <v>212438.67</v>
      </c>
      <c r="I898" s="43">
        <f>I899+I926+I935+I960</f>
        <v>188143.88999999998</v>
      </c>
      <c r="J898" s="43">
        <f>J899+J926+J935+J960</f>
        <v>188178.07</v>
      </c>
      <c r="K898" s="43">
        <v>212438.85</v>
      </c>
      <c r="L898" s="43">
        <v>188144.06999999998</v>
      </c>
      <c r="M898" s="43">
        <v>188178.25</v>
      </c>
      <c r="N898" s="43"/>
      <c r="O898" s="43">
        <v>205912.54</v>
      </c>
      <c r="P898" s="43">
        <v>188144.06999999998</v>
      </c>
      <c r="Q898" s="43">
        <v>188178.25</v>
      </c>
      <c r="R898" s="472">
        <f t="shared" si="350"/>
        <v>6526.1300000000047</v>
      </c>
      <c r="S898" s="472">
        <f t="shared" si="351"/>
        <v>-0.17999999999301508</v>
      </c>
      <c r="T898" s="472">
        <f t="shared" si="352"/>
        <v>-0.17999999999301508</v>
      </c>
      <c r="U898" s="42" t="s">
        <v>4</v>
      </c>
      <c r="V898" s="25" t="s">
        <v>5</v>
      </c>
      <c r="W898" s="26" t="s">
        <v>83</v>
      </c>
      <c r="X898" s="26" t="s">
        <v>83</v>
      </c>
      <c r="Y898" s="26" t="s">
        <v>223</v>
      </c>
      <c r="Z898" s="26" t="s">
        <v>90</v>
      </c>
      <c r="AA898" s="12" t="b">
        <f t="shared" si="362"/>
        <v>1</v>
      </c>
      <c r="AB898" s="12" t="b">
        <f t="shared" si="363"/>
        <v>1</v>
      </c>
      <c r="AC898" s="12" t="b">
        <f t="shared" si="364"/>
        <v>1</v>
      </c>
      <c r="AD898" s="12" t="b">
        <f t="shared" si="365"/>
        <v>1</v>
      </c>
      <c r="AE898" s="12" t="b">
        <f t="shared" si="366"/>
        <v>1</v>
      </c>
      <c r="AF898" s="12" t="b">
        <f t="shared" si="367"/>
        <v>1</v>
      </c>
    </row>
    <row r="899" spans="1:32" s="12" customFormat="1" ht="15.75" customHeight="1">
      <c r="A899" s="285"/>
      <c r="B899" s="28" t="s">
        <v>97</v>
      </c>
      <c r="C899" s="29" t="s">
        <v>5</v>
      </c>
      <c r="D899" s="30" t="s">
        <v>98</v>
      </c>
      <c r="E899" s="30" t="s">
        <v>83</v>
      </c>
      <c r="F899" s="30" t="s">
        <v>223</v>
      </c>
      <c r="G899" s="30" t="s">
        <v>90</v>
      </c>
      <c r="H899" s="31">
        <f>H900+H914</f>
        <v>48430.520000000004</v>
      </c>
      <c r="I899" s="31">
        <f>I900+I914</f>
        <v>48457.329999999994</v>
      </c>
      <c r="J899" s="31">
        <f>J900+J914</f>
        <v>48485.719999999994</v>
      </c>
      <c r="K899" s="31">
        <v>48430.7</v>
      </c>
      <c r="L899" s="31">
        <v>48457.509999999995</v>
      </c>
      <c r="M899" s="31">
        <v>48485.899999999994</v>
      </c>
      <c r="N899" s="31"/>
      <c r="O899" s="31">
        <v>48430.7</v>
      </c>
      <c r="P899" s="31">
        <v>48457.509999999995</v>
      </c>
      <c r="Q899" s="31">
        <v>48485.899999999994</v>
      </c>
      <c r="R899" s="472">
        <f t="shared" si="350"/>
        <v>-0.17999999999301508</v>
      </c>
      <c r="S899" s="472">
        <f t="shared" si="351"/>
        <v>-0.18000000000029104</v>
      </c>
      <c r="T899" s="472">
        <f t="shared" si="352"/>
        <v>-0.18000000000029104</v>
      </c>
      <c r="U899" s="28" t="s">
        <v>97</v>
      </c>
      <c r="V899" s="29" t="s">
        <v>5</v>
      </c>
      <c r="W899" s="30" t="s">
        <v>98</v>
      </c>
      <c r="X899" s="30" t="s">
        <v>83</v>
      </c>
      <c r="Y899" s="30" t="s">
        <v>223</v>
      </c>
      <c r="Z899" s="30" t="s">
        <v>90</v>
      </c>
      <c r="AA899" s="12" t="b">
        <f t="shared" si="362"/>
        <v>1</v>
      </c>
      <c r="AB899" s="12" t="b">
        <f t="shared" si="363"/>
        <v>1</v>
      </c>
      <c r="AC899" s="12" t="b">
        <f t="shared" si="364"/>
        <v>1</v>
      </c>
      <c r="AD899" s="12" t="b">
        <f t="shared" si="365"/>
        <v>1</v>
      </c>
      <c r="AE899" s="12" t="b">
        <f t="shared" si="366"/>
        <v>1</v>
      </c>
      <c r="AF899" s="12" t="b">
        <f t="shared" si="367"/>
        <v>1</v>
      </c>
    </row>
    <row r="900" spans="1:32" s="12" customFormat="1" ht="15.75" customHeight="1">
      <c r="A900" s="285"/>
      <c r="B900" s="32" t="s">
        <v>41</v>
      </c>
      <c r="C900" s="33" t="s">
        <v>5</v>
      </c>
      <c r="D900" s="34" t="s">
        <v>98</v>
      </c>
      <c r="E900" s="34" t="s">
        <v>69</v>
      </c>
      <c r="F900" s="34" t="s">
        <v>223</v>
      </c>
      <c r="G900" s="34" t="s">
        <v>90</v>
      </c>
      <c r="H900" s="35">
        <f t="shared" ref="H900:J901" si="371">H901</f>
        <v>47293.36</v>
      </c>
      <c r="I900" s="35">
        <f t="shared" si="371"/>
        <v>47316.909999999996</v>
      </c>
      <c r="J900" s="35">
        <f t="shared" si="371"/>
        <v>47341.909999999996</v>
      </c>
      <c r="K900" s="35">
        <v>47293.54</v>
      </c>
      <c r="L900" s="35">
        <v>47317.09</v>
      </c>
      <c r="M900" s="35">
        <v>47342.09</v>
      </c>
      <c r="N900" s="35"/>
      <c r="O900" s="35">
        <v>47293.54</v>
      </c>
      <c r="P900" s="35">
        <v>47317.09</v>
      </c>
      <c r="Q900" s="35">
        <v>47342.09</v>
      </c>
      <c r="R900" s="472">
        <f t="shared" si="350"/>
        <v>-0.18000000000029104</v>
      </c>
      <c r="S900" s="472">
        <f t="shared" si="351"/>
        <v>-0.18000000000029104</v>
      </c>
      <c r="T900" s="472">
        <f t="shared" si="352"/>
        <v>-0.18000000000029104</v>
      </c>
      <c r="U900" s="32" t="s">
        <v>41</v>
      </c>
      <c r="V900" s="33" t="s">
        <v>5</v>
      </c>
      <c r="W900" s="34" t="s">
        <v>98</v>
      </c>
      <c r="X900" s="34" t="s">
        <v>69</v>
      </c>
      <c r="Y900" s="34" t="s">
        <v>223</v>
      </c>
      <c r="Z900" s="34" t="s">
        <v>90</v>
      </c>
      <c r="AA900" s="12" t="b">
        <f t="shared" si="362"/>
        <v>1</v>
      </c>
      <c r="AB900" s="12" t="b">
        <f t="shared" si="363"/>
        <v>1</v>
      </c>
      <c r="AC900" s="12" t="b">
        <f t="shared" si="364"/>
        <v>1</v>
      </c>
      <c r="AD900" s="12" t="b">
        <f t="shared" si="365"/>
        <v>1</v>
      </c>
      <c r="AE900" s="12" t="b">
        <f t="shared" si="366"/>
        <v>1</v>
      </c>
      <c r="AF900" s="12" t="b">
        <f t="shared" si="367"/>
        <v>1</v>
      </c>
    </row>
    <row r="901" spans="1:32" s="12" customFormat="1" ht="15.75" customHeight="1">
      <c r="A901" s="285"/>
      <c r="B901" s="65" t="s">
        <v>176</v>
      </c>
      <c r="C901" s="56" t="s">
        <v>5</v>
      </c>
      <c r="D901" s="57" t="s">
        <v>98</v>
      </c>
      <c r="E901" s="57" t="s">
        <v>69</v>
      </c>
      <c r="F901" s="57" t="s">
        <v>425</v>
      </c>
      <c r="G901" s="57" t="s">
        <v>90</v>
      </c>
      <c r="H901" s="58">
        <f t="shared" si="371"/>
        <v>47293.36</v>
      </c>
      <c r="I901" s="58">
        <f t="shared" si="371"/>
        <v>47316.909999999996</v>
      </c>
      <c r="J901" s="58">
        <f t="shared" si="371"/>
        <v>47341.909999999996</v>
      </c>
      <c r="K901" s="58">
        <v>47293.54</v>
      </c>
      <c r="L901" s="58">
        <v>47317.09</v>
      </c>
      <c r="M901" s="58">
        <v>47342.09</v>
      </c>
      <c r="N901" s="58"/>
      <c r="O901" s="58">
        <v>47293.54</v>
      </c>
      <c r="P901" s="58">
        <v>47317.09</v>
      </c>
      <c r="Q901" s="58">
        <v>47342.09</v>
      </c>
      <c r="R901" s="472">
        <f t="shared" si="350"/>
        <v>-0.18000000000029104</v>
      </c>
      <c r="S901" s="472">
        <f t="shared" si="351"/>
        <v>-0.18000000000029104</v>
      </c>
      <c r="T901" s="472">
        <f t="shared" si="352"/>
        <v>-0.18000000000029104</v>
      </c>
      <c r="U901" s="65" t="s">
        <v>176</v>
      </c>
      <c r="V901" s="56" t="s">
        <v>5</v>
      </c>
      <c r="W901" s="57" t="s">
        <v>98</v>
      </c>
      <c r="X901" s="57" t="s">
        <v>69</v>
      </c>
      <c r="Y901" s="57" t="s">
        <v>425</v>
      </c>
      <c r="Z901" s="57" t="s">
        <v>90</v>
      </c>
      <c r="AA901" s="12" t="b">
        <f t="shared" si="362"/>
        <v>1</v>
      </c>
      <c r="AB901" s="12" t="b">
        <f t="shared" si="363"/>
        <v>1</v>
      </c>
      <c r="AC901" s="12" t="b">
        <f t="shared" si="364"/>
        <v>1</v>
      </c>
      <c r="AD901" s="12" t="b">
        <f t="shared" si="365"/>
        <v>1</v>
      </c>
      <c r="AE901" s="12" t="b">
        <f t="shared" si="366"/>
        <v>1</v>
      </c>
      <c r="AF901" s="12" t="b">
        <f t="shared" si="367"/>
        <v>1</v>
      </c>
    </row>
    <row r="902" spans="1:32" s="12" customFormat="1" ht="15.75" customHeight="1">
      <c r="A902" s="285"/>
      <c r="B902" s="65" t="s">
        <v>177</v>
      </c>
      <c r="C902" s="56" t="s">
        <v>5</v>
      </c>
      <c r="D902" s="57" t="s">
        <v>98</v>
      </c>
      <c r="E902" s="57" t="s">
        <v>69</v>
      </c>
      <c r="F902" s="57" t="s">
        <v>426</v>
      </c>
      <c r="G902" s="57" t="s">
        <v>90</v>
      </c>
      <c r="H902" s="58">
        <f t="shared" ref="H902:J902" si="372">H903+H907+H909+H912</f>
        <v>47293.36</v>
      </c>
      <c r="I902" s="58">
        <f t="shared" si="372"/>
        <v>47316.909999999996</v>
      </c>
      <c r="J902" s="58">
        <f t="shared" si="372"/>
        <v>47341.909999999996</v>
      </c>
      <c r="K902" s="58">
        <v>47293.54</v>
      </c>
      <c r="L902" s="58">
        <v>47317.09</v>
      </c>
      <c r="M902" s="58">
        <v>47342.09</v>
      </c>
      <c r="N902" s="58"/>
      <c r="O902" s="58">
        <v>47293.54</v>
      </c>
      <c r="P902" s="58">
        <v>47317.09</v>
      </c>
      <c r="Q902" s="58">
        <v>47342.09</v>
      </c>
      <c r="R902" s="472">
        <f t="shared" si="350"/>
        <v>-0.18000000000029104</v>
      </c>
      <c r="S902" s="472">
        <f t="shared" si="351"/>
        <v>-0.18000000000029104</v>
      </c>
      <c r="T902" s="472">
        <f t="shared" si="352"/>
        <v>-0.18000000000029104</v>
      </c>
      <c r="U902" s="65" t="s">
        <v>177</v>
      </c>
      <c r="V902" s="56" t="s">
        <v>5</v>
      </c>
      <c r="W902" s="57" t="s">
        <v>98</v>
      </c>
      <c r="X902" s="57" t="s">
        <v>69</v>
      </c>
      <c r="Y902" s="57" t="s">
        <v>426</v>
      </c>
      <c r="Z902" s="57" t="s">
        <v>90</v>
      </c>
      <c r="AA902" s="12" t="b">
        <f t="shared" si="362"/>
        <v>1</v>
      </c>
      <c r="AB902" s="12" t="b">
        <f t="shared" si="363"/>
        <v>1</v>
      </c>
      <c r="AC902" s="12" t="b">
        <f t="shared" si="364"/>
        <v>1</v>
      </c>
      <c r="AD902" s="12" t="b">
        <f t="shared" si="365"/>
        <v>1</v>
      </c>
      <c r="AE902" s="12" t="b">
        <f t="shared" si="366"/>
        <v>1</v>
      </c>
      <c r="AF902" s="12" t="b">
        <f t="shared" si="367"/>
        <v>1</v>
      </c>
    </row>
    <row r="903" spans="1:32" s="12" customFormat="1" ht="15.75" customHeight="1">
      <c r="A903" s="285"/>
      <c r="B903" s="182" t="s">
        <v>151</v>
      </c>
      <c r="C903" s="56" t="s">
        <v>5</v>
      </c>
      <c r="D903" s="57" t="s">
        <v>98</v>
      </c>
      <c r="E903" s="57" t="s">
        <v>69</v>
      </c>
      <c r="F903" s="57" t="s">
        <v>427</v>
      </c>
      <c r="G903" s="57" t="s">
        <v>90</v>
      </c>
      <c r="H903" s="58">
        <f>SUM(H904:H906)</f>
        <v>3606.23</v>
      </c>
      <c r="I903" s="58">
        <f>SUM(I904:I906)</f>
        <v>3629.7799999999997</v>
      </c>
      <c r="J903" s="58">
        <f>SUM(J904:J906)</f>
        <v>3654.7799999999997</v>
      </c>
      <c r="K903" s="58">
        <v>3606.23</v>
      </c>
      <c r="L903" s="58">
        <v>3629.7799999999997</v>
      </c>
      <c r="M903" s="58">
        <v>3654.7799999999997</v>
      </c>
      <c r="N903" s="58"/>
      <c r="O903" s="58">
        <v>3606.23</v>
      </c>
      <c r="P903" s="58">
        <v>3629.7799999999997</v>
      </c>
      <c r="Q903" s="58">
        <v>3654.7799999999997</v>
      </c>
      <c r="R903" s="472">
        <f t="shared" si="350"/>
        <v>0</v>
      </c>
      <c r="S903" s="472">
        <f t="shared" si="351"/>
        <v>0</v>
      </c>
      <c r="T903" s="472">
        <f t="shared" si="352"/>
        <v>0</v>
      </c>
      <c r="U903" s="182" t="s">
        <v>151</v>
      </c>
      <c r="V903" s="56" t="s">
        <v>5</v>
      </c>
      <c r="W903" s="57" t="s">
        <v>98</v>
      </c>
      <c r="X903" s="57" t="s">
        <v>69</v>
      </c>
      <c r="Y903" s="57" t="s">
        <v>427</v>
      </c>
      <c r="Z903" s="57" t="s">
        <v>90</v>
      </c>
      <c r="AA903" s="12" t="b">
        <f t="shared" si="362"/>
        <v>1</v>
      </c>
      <c r="AB903" s="12" t="b">
        <f t="shared" si="363"/>
        <v>1</v>
      </c>
      <c r="AC903" s="12" t="b">
        <f t="shared" si="364"/>
        <v>1</v>
      </c>
      <c r="AD903" s="12" t="b">
        <f t="shared" si="365"/>
        <v>1</v>
      </c>
      <c r="AE903" s="12" t="b">
        <f t="shared" si="366"/>
        <v>1</v>
      </c>
      <c r="AF903" s="12" t="b">
        <f t="shared" si="367"/>
        <v>1</v>
      </c>
    </row>
    <row r="904" spans="1:32" s="12" customFormat="1" ht="15.75" customHeight="1">
      <c r="A904" s="285"/>
      <c r="B904" s="182" t="s">
        <v>144</v>
      </c>
      <c r="C904" s="36" t="s">
        <v>5</v>
      </c>
      <c r="D904" s="37" t="s">
        <v>98</v>
      </c>
      <c r="E904" s="37" t="s">
        <v>69</v>
      </c>
      <c r="F904" s="37" t="s">
        <v>427</v>
      </c>
      <c r="G904" s="37" t="s">
        <v>152</v>
      </c>
      <c r="H904" s="183">
        <v>620.48</v>
      </c>
      <c r="I904" s="183">
        <v>620.48</v>
      </c>
      <c r="J904" s="183">
        <v>620.48</v>
      </c>
      <c r="K904" s="183">
        <v>620.48</v>
      </c>
      <c r="L904" s="183">
        <v>620.48</v>
      </c>
      <c r="M904" s="183">
        <v>620.48</v>
      </c>
      <c r="N904" s="183"/>
      <c r="O904" s="183">
        <v>620.48</v>
      </c>
      <c r="P904" s="183">
        <v>620.48</v>
      </c>
      <c r="Q904" s="183">
        <v>620.48</v>
      </c>
      <c r="R904" s="472">
        <f t="shared" si="350"/>
        <v>0</v>
      </c>
      <c r="S904" s="472">
        <f t="shared" si="351"/>
        <v>0</v>
      </c>
      <c r="T904" s="472">
        <f t="shared" si="352"/>
        <v>0</v>
      </c>
      <c r="U904" s="182" t="s">
        <v>144</v>
      </c>
      <c r="V904" s="36" t="s">
        <v>5</v>
      </c>
      <c r="W904" s="37" t="s">
        <v>98</v>
      </c>
      <c r="X904" s="37" t="s">
        <v>69</v>
      </c>
      <c r="Y904" s="37" t="s">
        <v>427</v>
      </c>
      <c r="Z904" s="37" t="s">
        <v>152</v>
      </c>
      <c r="AA904" s="12" t="b">
        <f t="shared" si="362"/>
        <v>1</v>
      </c>
      <c r="AB904" s="12" t="b">
        <f t="shared" si="363"/>
        <v>1</v>
      </c>
      <c r="AC904" s="12" t="b">
        <f t="shared" si="364"/>
        <v>1</v>
      </c>
      <c r="AD904" s="12" t="b">
        <f t="shared" si="365"/>
        <v>1</v>
      </c>
      <c r="AE904" s="12" t="b">
        <f t="shared" si="366"/>
        <v>1</v>
      </c>
      <c r="AF904" s="12" t="b">
        <f t="shared" si="367"/>
        <v>1</v>
      </c>
    </row>
    <row r="905" spans="1:32" s="12" customFormat="1" ht="15.75" customHeight="1">
      <c r="A905" s="285"/>
      <c r="B905" s="182" t="s">
        <v>145</v>
      </c>
      <c r="C905" s="36" t="s">
        <v>5</v>
      </c>
      <c r="D905" s="37" t="s">
        <v>98</v>
      </c>
      <c r="E905" s="37" t="s">
        <v>69</v>
      </c>
      <c r="F905" s="37" t="s">
        <v>427</v>
      </c>
      <c r="G905" s="37" t="s">
        <v>153</v>
      </c>
      <c r="H905" s="183">
        <f>2981.83-100+11.55</f>
        <v>2893.38</v>
      </c>
      <c r="I905" s="183">
        <f>2981.83-100+35.1</f>
        <v>2916.93</v>
      </c>
      <c r="J905" s="183">
        <f>2981.83-100+35.1+25</f>
        <v>2941.93</v>
      </c>
      <c r="K905" s="183">
        <v>2893.38</v>
      </c>
      <c r="L905" s="183">
        <v>2916.93</v>
      </c>
      <c r="M905" s="183">
        <v>2941.93</v>
      </c>
      <c r="N905" s="183"/>
      <c r="O905" s="183">
        <v>2893.38</v>
      </c>
      <c r="P905" s="183">
        <v>2916.93</v>
      </c>
      <c r="Q905" s="183">
        <v>2941.93</v>
      </c>
      <c r="R905" s="472">
        <f t="shared" si="350"/>
        <v>0</v>
      </c>
      <c r="S905" s="472">
        <f t="shared" si="351"/>
        <v>0</v>
      </c>
      <c r="T905" s="472">
        <f t="shared" si="352"/>
        <v>0</v>
      </c>
      <c r="U905" s="182" t="s">
        <v>145</v>
      </c>
      <c r="V905" s="36" t="s">
        <v>5</v>
      </c>
      <c r="W905" s="37" t="s">
        <v>98</v>
      </c>
      <c r="X905" s="37" t="s">
        <v>69</v>
      </c>
      <c r="Y905" s="37" t="s">
        <v>427</v>
      </c>
      <c r="Z905" s="37" t="s">
        <v>153</v>
      </c>
      <c r="AA905" s="12" t="b">
        <f t="shared" si="362"/>
        <v>1</v>
      </c>
      <c r="AB905" s="12" t="b">
        <f t="shared" si="363"/>
        <v>1</v>
      </c>
      <c r="AC905" s="12" t="b">
        <f t="shared" si="364"/>
        <v>1</v>
      </c>
      <c r="AD905" s="12" t="b">
        <f t="shared" si="365"/>
        <v>1</v>
      </c>
      <c r="AE905" s="12" t="b">
        <f t="shared" si="366"/>
        <v>1</v>
      </c>
      <c r="AF905" s="12" t="b">
        <f t="shared" si="367"/>
        <v>1</v>
      </c>
    </row>
    <row r="906" spans="1:32" s="12" customFormat="1" ht="15.75" customHeight="1">
      <c r="A906" s="285"/>
      <c r="B906" s="182" t="s">
        <v>137</v>
      </c>
      <c r="C906" s="36" t="s">
        <v>5</v>
      </c>
      <c r="D906" s="37" t="s">
        <v>98</v>
      </c>
      <c r="E906" s="37" t="s">
        <v>69</v>
      </c>
      <c r="F906" s="37" t="s">
        <v>427</v>
      </c>
      <c r="G906" s="37" t="s">
        <v>155</v>
      </c>
      <c r="H906" s="183">
        <v>92.37</v>
      </c>
      <c r="I906" s="183">
        <v>92.37</v>
      </c>
      <c r="J906" s="183">
        <v>92.37</v>
      </c>
      <c r="K906" s="183">
        <v>92.37</v>
      </c>
      <c r="L906" s="183">
        <v>92.37</v>
      </c>
      <c r="M906" s="183">
        <v>92.37</v>
      </c>
      <c r="N906" s="183"/>
      <c r="O906" s="183">
        <v>92.37</v>
      </c>
      <c r="P906" s="183">
        <v>92.37</v>
      </c>
      <c r="Q906" s="183">
        <v>92.37</v>
      </c>
      <c r="R906" s="472">
        <f t="shared" si="350"/>
        <v>0</v>
      </c>
      <c r="S906" s="472">
        <f t="shared" si="351"/>
        <v>0</v>
      </c>
      <c r="T906" s="472">
        <f t="shared" si="352"/>
        <v>0</v>
      </c>
      <c r="U906" s="182" t="s">
        <v>137</v>
      </c>
      <c r="V906" s="36" t="s">
        <v>5</v>
      </c>
      <c r="W906" s="37" t="s">
        <v>98</v>
      </c>
      <c r="X906" s="37" t="s">
        <v>69</v>
      </c>
      <c r="Y906" s="37" t="s">
        <v>427</v>
      </c>
      <c r="Z906" s="37" t="s">
        <v>155</v>
      </c>
      <c r="AA906" s="12" t="b">
        <f t="shared" si="362"/>
        <v>1</v>
      </c>
      <c r="AB906" s="12" t="b">
        <f t="shared" si="363"/>
        <v>1</v>
      </c>
      <c r="AC906" s="12" t="b">
        <f t="shared" si="364"/>
        <v>1</v>
      </c>
      <c r="AD906" s="12" t="b">
        <f t="shared" si="365"/>
        <v>1</v>
      </c>
      <c r="AE906" s="12" t="b">
        <f t="shared" si="366"/>
        <v>1</v>
      </c>
      <c r="AF906" s="12" t="b">
        <f t="shared" si="367"/>
        <v>1</v>
      </c>
    </row>
    <row r="907" spans="1:32" s="12" customFormat="1" ht="15.75" customHeight="1">
      <c r="A907" s="285"/>
      <c r="B907" s="182" t="s">
        <v>161</v>
      </c>
      <c r="C907" s="56" t="s">
        <v>5</v>
      </c>
      <c r="D907" s="57" t="s">
        <v>98</v>
      </c>
      <c r="E907" s="57" t="s">
        <v>69</v>
      </c>
      <c r="F907" s="57" t="s">
        <v>428</v>
      </c>
      <c r="G907" s="57" t="s">
        <v>90</v>
      </c>
      <c r="H907" s="183">
        <f>H908</f>
        <v>40711.360000000001</v>
      </c>
      <c r="I907" s="183">
        <f>I908</f>
        <v>40711.360000000001</v>
      </c>
      <c r="J907" s="183">
        <f>J908</f>
        <v>40711.360000000001</v>
      </c>
      <c r="K907" s="183">
        <v>40711.360000000001</v>
      </c>
      <c r="L907" s="183">
        <v>40711.360000000001</v>
      </c>
      <c r="M907" s="183">
        <v>40711.360000000001</v>
      </c>
      <c r="N907" s="183"/>
      <c r="O907" s="183">
        <v>40711.360000000001</v>
      </c>
      <c r="P907" s="183">
        <v>40711.360000000001</v>
      </c>
      <c r="Q907" s="183">
        <v>40711.360000000001</v>
      </c>
      <c r="R907" s="472">
        <f t="shared" si="350"/>
        <v>0</v>
      </c>
      <c r="S907" s="472">
        <f t="shared" si="351"/>
        <v>0</v>
      </c>
      <c r="T907" s="472">
        <f t="shared" si="352"/>
        <v>0</v>
      </c>
      <c r="U907" s="182" t="s">
        <v>161</v>
      </c>
      <c r="V907" s="56" t="s">
        <v>5</v>
      </c>
      <c r="W907" s="57" t="s">
        <v>98</v>
      </c>
      <c r="X907" s="57" t="s">
        <v>69</v>
      </c>
      <c r="Y907" s="57" t="s">
        <v>428</v>
      </c>
      <c r="Z907" s="57" t="s">
        <v>90</v>
      </c>
      <c r="AA907" s="12" t="b">
        <f t="shared" si="362"/>
        <v>1</v>
      </c>
      <c r="AB907" s="12" t="b">
        <f t="shared" si="363"/>
        <v>1</v>
      </c>
      <c r="AC907" s="12" t="b">
        <f t="shared" si="364"/>
        <v>1</v>
      </c>
      <c r="AD907" s="12" t="b">
        <f t="shared" si="365"/>
        <v>1</v>
      </c>
      <c r="AE907" s="12" t="b">
        <f t="shared" si="366"/>
        <v>1</v>
      </c>
      <c r="AF907" s="12" t="b">
        <f t="shared" si="367"/>
        <v>1</v>
      </c>
    </row>
    <row r="908" spans="1:32" s="12" customFormat="1" ht="15.75" customHeight="1">
      <c r="A908" s="285"/>
      <c r="B908" s="54" t="s">
        <v>144</v>
      </c>
      <c r="C908" s="56" t="s">
        <v>5</v>
      </c>
      <c r="D908" s="57" t="s">
        <v>98</v>
      </c>
      <c r="E908" s="57" t="s">
        <v>69</v>
      </c>
      <c r="F908" s="57" t="s">
        <v>428</v>
      </c>
      <c r="G908" s="57" t="s">
        <v>152</v>
      </c>
      <c r="H908" s="58">
        <f>40705.64+5.72</f>
        <v>40711.360000000001</v>
      </c>
      <c r="I908" s="58">
        <f t="shared" ref="I908:J908" si="373">40705.64+5.72</f>
        <v>40711.360000000001</v>
      </c>
      <c r="J908" s="58">
        <f t="shared" si="373"/>
        <v>40711.360000000001</v>
      </c>
      <c r="K908" s="58">
        <v>40711.360000000001</v>
      </c>
      <c r="L908" s="58">
        <v>40711.360000000001</v>
      </c>
      <c r="M908" s="58">
        <v>40711.360000000001</v>
      </c>
      <c r="N908" s="58"/>
      <c r="O908" s="58">
        <v>40711.360000000001</v>
      </c>
      <c r="P908" s="58">
        <v>40711.360000000001</v>
      </c>
      <c r="Q908" s="58">
        <v>40711.360000000001</v>
      </c>
      <c r="R908" s="472">
        <f t="shared" si="350"/>
        <v>0</v>
      </c>
      <c r="S908" s="472">
        <f t="shared" si="351"/>
        <v>0</v>
      </c>
      <c r="T908" s="472">
        <f t="shared" si="352"/>
        <v>0</v>
      </c>
      <c r="U908" s="54" t="s">
        <v>144</v>
      </c>
      <c r="V908" s="56" t="s">
        <v>5</v>
      </c>
      <c r="W908" s="57" t="s">
        <v>98</v>
      </c>
      <c r="X908" s="57" t="s">
        <v>69</v>
      </c>
      <c r="Y908" s="57" t="s">
        <v>428</v>
      </c>
      <c r="Z908" s="57" t="s">
        <v>152</v>
      </c>
      <c r="AA908" s="12" t="b">
        <f t="shared" si="362"/>
        <v>1</v>
      </c>
      <c r="AB908" s="12" t="b">
        <f t="shared" si="363"/>
        <v>1</v>
      </c>
      <c r="AC908" s="12" t="b">
        <f t="shared" si="364"/>
        <v>1</v>
      </c>
      <c r="AD908" s="12" t="b">
        <f t="shared" si="365"/>
        <v>1</v>
      </c>
      <c r="AE908" s="12" t="b">
        <f t="shared" si="366"/>
        <v>1</v>
      </c>
      <c r="AF908" s="12" t="b">
        <f t="shared" si="367"/>
        <v>1</v>
      </c>
    </row>
    <row r="909" spans="1:32" s="12" customFormat="1" ht="15.75" customHeight="1">
      <c r="A909" s="285" t="s">
        <v>799</v>
      </c>
      <c r="B909" s="182" t="s">
        <v>848</v>
      </c>
      <c r="C909" s="56" t="s">
        <v>5</v>
      </c>
      <c r="D909" s="57" t="s">
        <v>98</v>
      </c>
      <c r="E909" s="57" t="s">
        <v>69</v>
      </c>
      <c r="F909" s="57" t="s">
        <v>429</v>
      </c>
      <c r="G909" s="57" t="s">
        <v>90</v>
      </c>
      <c r="H909" s="58">
        <f>H910+H911</f>
        <v>1640.06</v>
      </c>
      <c r="I909" s="58">
        <f>I910+I911</f>
        <v>1640.06</v>
      </c>
      <c r="J909" s="58">
        <f>J910+J911</f>
        <v>1640.06</v>
      </c>
      <c r="K909" s="58">
        <v>1640.06</v>
      </c>
      <c r="L909" s="58">
        <v>1640.06</v>
      </c>
      <c r="M909" s="58">
        <v>1640.06</v>
      </c>
      <c r="N909" s="58"/>
      <c r="O909" s="183">
        <v>1640.06</v>
      </c>
      <c r="P909" s="183">
        <v>1640.06</v>
      </c>
      <c r="Q909" s="183">
        <v>1640.06</v>
      </c>
      <c r="R909" s="472">
        <f t="shared" si="350"/>
        <v>0</v>
      </c>
      <c r="S909" s="472">
        <f t="shared" si="351"/>
        <v>0</v>
      </c>
      <c r="T909" s="472">
        <f t="shared" si="352"/>
        <v>0</v>
      </c>
      <c r="U909" s="182" t="s">
        <v>848</v>
      </c>
      <c r="V909" s="56" t="s">
        <v>5</v>
      </c>
      <c r="W909" s="57" t="s">
        <v>98</v>
      </c>
      <c r="X909" s="57" t="s">
        <v>69</v>
      </c>
      <c r="Y909" s="57" t="s">
        <v>429</v>
      </c>
      <c r="Z909" s="57" t="s">
        <v>90</v>
      </c>
      <c r="AA909" s="12" t="b">
        <f t="shared" si="362"/>
        <v>1</v>
      </c>
      <c r="AB909" s="12" t="b">
        <f t="shared" si="363"/>
        <v>1</v>
      </c>
      <c r="AC909" s="12" t="b">
        <f t="shared" si="364"/>
        <v>1</v>
      </c>
      <c r="AD909" s="12" t="b">
        <f t="shared" si="365"/>
        <v>1</v>
      </c>
      <c r="AE909" s="12" t="b">
        <f t="shared" si="366"/>
        <v>1</v>
      </c>
      <c r="AF909" s="12" t="b">
        <f t="shared" si="367"/>
        <v>1</v>
      </c>
    </row>
    <row r="910" spans="1:32" s="12" customFormat="1" ht="15.75" customHeight="1">
      <c r="A910" s="285" t="s">
        <v>964</v>
      </c>
      <c r="B910" s="54" t="s">
        <v>144</v>
      </c>
      <c r="C910" s="56" t="s">
        <v>5</v>
      </c>
      <c r="D910" s="57" t="s">
        <v>98</v>
      </c>
      <c r="E910" s="57" t="s">
        <v>69</v>
      </c>
      <c r="F910" s="57" t="s">
        <v>429</v>
      </c>
      <c r="G910" s="57" t="s">
        <v>152</v>
      </c>
      <c r="H910" s="58">
        <v>1537.3</v>
      </c>
      <c r="I910" s="58">
        <v>1537.3</v>
      </c>
      <c r="J910" s="58">
        <v>1537.3</v>
      </c>
      <c r="K910" s="58">
        <v>1537.3</v>
      </c>
      <c r="L910" s="58">
        <v>1537.3</v>
      </c>
      <c r="M910" s="58">
        <v>1537.3</v>
      </c>
      <c r="N910" s="58"/>
      <c r="O910" s="58">
        <v>1537.3</v>
      </c>
      <c r="P910" s="58">
        <v>1537.3</v>
      </c>
      <c r="Q910" s="58">
        <v>1537.3</v>
      </c>
      <c r="R910" s="472">
        <f t="shared" si="350"/>
        <v>0</v>
      </c>
      <c r="S910" s="472">
        <f t="shared" si="351"/>
        <v>0</v>
      </c>
      <c r="T910" s="472">
        <f t="shared" si="352"/>
        <v>0</v>
      </c>
      <c r="U910" s="54" t="s">
        <v>144</v>
      </c>
      <c r="V910" s="56" t="s">
        <v>5</v>
      </c>
      <c r="W910" s="57" t="s">
        <v>98</v>
      </c>
      <c r="X910" s="57" t="s">
        <v>69</v>
      </c>
      <c r="Y910" s="57" t="s">
        <v>429</v>
      </c>
      <c r="Z910" s="57" t="s">
        <v>152</v>
      </c>
      <c r="AA910" s="12" t="b">
        <f t="shared" si="362"/>
        <v>1</v>
      </c>
      <c r="AB910" s="12" t="b">
        <f t="shared" si="363"/>
        <v>1</v>
      </c>
      <c r="AC910" s="12" t="b">
        <f t="shared" si="364"/>
        <v>1</v>
      </c>
      <c r="AD910" s="12" t="b">
        <f t="shared" si="365"/>
        <v>1</v>
      </c>
      <c r="AE910" s="12" t="b">
        <f t="shared" si="366"/>
        <v>1</v>
      </c>
      <c r="AF910" s="12" t="b">
        <f t="shared" si="367"/>
        <v>1</v>
      </c>
    </row>
    <row r="911" spans="1:32" s="12" customFormat="1" ht="15.75" customHeight="1">
      <c r="A911" s="285" t="s">
        <v>964</v>
      </c>
      <c r="B911" s="182" t="s">
        <v>145</v>
      </c>
      <c r="C911" s="36" t="s">
        <v>5</v>
      </c>
      <c r="D911" s="37" t="s">
        <v>98</v>
      </c>
      <c r="E911" s="37" t="s">
        <v>69</v>
      </c>
      <c r="F911" s="37" t="s">
        <v>429</v>
      </c>
      <c r="G911" s="37" t="s">
        <v>153</v>
      </c>
      <c r="H911" s="183">
        <v>102.76</v>
      </c>
      <c r="I911" s="183">
        <v>102.76</v>
      </c>
      <c r="J911" s="183">
        <v>102.76</v>
      </c>
      <c r="K911" s="183">
        <v>102.76</v>
      </c>
      <c r="L911" s="183">
        <v>102.76</v>
      </c>
      <c r="M911" s="183">
        <v>102.76</v>
      </c>
      <c r="N911" s="183"/>
      <c r="O911" s="183">
        <v>102.76</v>
      </c>
      <c r="P911" s="183">
        <v>102.76</v>
      </c>
      <c r="Q911" s="183">
        <v>102.76</v>
      </c>
      <c r="R911" s="472">
        <f t="shared" si="350"/>
        <v>0</v>
      </c>
      <c r="S911" s="472">
        <f t="shared" si="351"/>
        <v>0</v>
      </c>
      <c r="T911" s="472">
        <f t="shared" si="352"/>
        <v>0</v>
      </c>
      <c r="U911" s="182" t="s">
        <v>145</v>
      </c>
      <c r="V911" s="36" t="s">
        <v>5</v>
      </c>
      <c r="W911" s="37" t="s">
        <v>98</v>
      </c>
      <c r="X911" s="37" t="s">
        <v>69</v>
      </c>
      <c r="Y911" s="37" t="s">
        <v>429</v>
      </c>
      <c r="Z911" s="37" t="s">
        <v>153</v>
      </c>
      <c r="AA911" s="12" t="b">
        <f t="shared" si="362"/>
        <v>1</v>
      </c>
      <c r="AB911" s="12" t="b">
        <f t="shared" si="363"/>
        <v>1</v>
      </c>
      <c r="AC911" s="12" t="b">
        <f t="shared" si="364"/>
        <v>1</v>
      </c>
      <c r="AD911" s="12" t="b">
        <f t="shared" si="365"/>
        <v>1</v>
      </c>
      <c r="AE911" s="12" t="b">
        <f t="shared" si="366"/>
        <v>1</v>
      </c>
      <c r="AF911" s="12" t="b">
        <f t="shared" si="367"/>
        <v>1</v>
      </c>
    </row>
    <row r="912" spans="1:32" s="12" customFormat="1" ht="15.75" customHeight="1">
      <c r="A912" s="285" t="s">
        <v>799</v>
      </c>
      <c r="B912" s="54" t="s">
        <v>849</v>
      </c>
      <c r="C912" s="56" t="s">
        <v>5</v>
      </c>
      <c r="D912" s="57" t="s">
        <v>98</v>
      </c>
      <c r="E912" s="57" t="s">
        <v>69</v>
      </c>
      <c r="F912" s="57" t="s">
        <v>430</v>
      </c>
      <c r="G912" s="57" t="s">
        <v>90</v>
      </c>
      <c r="H912" s="183">
        <f>H913</f>
        <v>1335.71</v>
      </c>
      <c r="I912" s="183">
        <f>I913</f>
        <v>1335.71</v>
      </c>
      <c r="J912" s="183">
        <f>J913</f>
        <v>1335.71</v>
      </c>
      <c r="K912" s="183">
        <v>1335.89</v>
      </c>
      <c r="L912" s="183">
        <v>1335.89</v>
      </c>
      <c r="M912" s="183">
        <v>1335.89</v>
      </c>
      <c r="N912" s="183"/>
      <c r="O912" s="58">
        <v>1335.89</v>
      </c>
      <c r="P912" s="58">
        <v>1335.89</v>
      </c>
      <c r="Q912" s="58">
        <v>1335.89</v>
      </c>
      <c r="R912" s="472">
        <f t="shared" si="350"/>
        <v>-0.18000000000006366</v>
      </c>
      <c r="S912" s="472">
        <f t="shared" si="351"/>
        <v>-0.18000000000006366</v>
      </c>
      <c r="T912" s="472">
        <f t="shared" si="352"/>
        <v>-0.18000000000006366</v>
      </c>
      <c r="U912" s="54" t="s">
        <v>849</v>
      </c>
      <c r="V912" s="56" t="s">
        <v>5</v>
      </c>
      <c r="W912" s="57" t="s">
        <v>98</v>
      </c>
      <c r="X912" s="57" t="s">
        <v>69</v>
      </c>
      <c r="Y912" s="57" t="s">
        <v>430</v>
      </c>
      <c r="Z912" s="57" t="s">
        <v>90</v>
      </c>
      <c r="AA912" s="12" t="b">
        <f t="shared" si="362"/>
        <v>1</v>
      </c>
      <c r="AB912" s="12" t="b">
        <f t="shared" si="363"/>
        <v>1</v>
      </c>
      <c r="AC912" s="12" t="b">
        <f t="shared" si="364"/>
        <v>1</v>
      </c>
      <c r="AD912" s="12" t="b">
        <f t="shared" si="365"/>
        <v>1</v>
      </c>
      <c r="AE912" s="12" t="b">
        <f t="shared" si="366"/>
        <v>1</v>
      </c>
      <c r="AF912" s="12" t="b">
        <f t="shared" si="367"/>
        <v>1</v>
      </c>
    </row>
    <row r="913" spans="1:32" s="12" customFormat="1" ht="15.75" customHeight="1">
      <c r="A913" s="285" t="s">
        <v>964</v>
      </c>
      <c r="B913" s="182" t="s">
        <v>145</v>
      </c>
      <c r="C913" s="36" t="s">
        <v>5</v>
      </c>
      <c r="D913" s="37" t="s">
        <v>98</v>
      </c>
      <c r="E913" s="37" t="s">
        <v>69</v>
      </c>
      <c r="F913" s="37" t="s">
        <v>430</v>
      </c>
      <c r="G913" s="37" t="s">
        <v>153</v>
      </c>
      <c r="H913" s="183">
        <f>1335.89-0.18</f>
        <v>1335.71</v>
      </c>
      <c r="I913" s="183">
        <f>1335.89-0.18</f>
        <v>1335.71</v>
      </c>
      <c r="J913" s="183">
        <f>1335.89-0.18</f>
        <v>1335.71</v>
      </c>
      <c r="K913" s="183">
        <v>1335.89</v>
      </c>
      <c r="L913" s="183">
        <v>1335.89</v>
      </c>
      <c r="M913" s="183">
        <v>1335.89</v>
      </c>
      <c r="N913" s="183"/>
      <c r="O913" s="183">
        <v>1335.89</v>
      </c>
      <c r="P913" s="183">
        <v>1335.89</v>
      </c>
      <c r="Q913" s="183">
        <v>1335.89</v>
      </c>
      <c r="R913" s="472">
        <f t="shared" si="350"/>
        <v>-0.18000000000006366</v>
      </c>
      <c r="S913" s="472">
        <f t="shared" si="351"/>
        <v>-0.18000000000006366</v>
      </c>
      <c r="T913" s="472">
        <f t="shared" si="352"/>
        <v>-0.18000000000006366</v>
      </c>
      <c r="U913" s="182" t="s">
        <v>145</v>
      </c>
      <c r="V913" s="36" t="s">
        <v>5</v>
      </c>
      <c r="W913" s="37" t="s">
        <v>98</v>
      </c>
      <c r="X913" s="37" t="s">
        <v>69</v>
      </c>
      <c r="Y913" s="37" t="s">
        <v>430</v>
      </c>
      <c r="Z913" s="37" t="s">
        <v>153</v>
      </c>
      <c r="AA913" s="12" t="b">
        <f t="shared" si="362"/>
        <v>1</v>
      </c>
      <c r="AB913" s="12" t="b">
        <f t="shared" si="363"/>
        <v>1</v>
      </c>
      <c r="AC913" s="12" t="b">
        <f t="shared" si="364"/>
        <v>1</v>
      </c>
      <c r="AD913" s="12" t="b">
        <f t="shared" si="365"/>
        <v>1</v>
      </c>
      <c r="AE913" s="12" t="b">
        <f t="shared" si="366"/>
        <v>1</v>
      </c>
      <c r="AF913" s="12" t="b">
        <f t="shared" si="367"/>
        <v>1</v>
      </c>
    </row>
    <row r="914" spans="1:32" s="12" customFormat="1" ht="15.75" customHeight="1">
      <c r="A914" s="285"/>
      <c r="B914" s="32" t="s">
        <v>70</v>
      </c>
      <c r="C914" s="33" t="s">
        <v>5</v>
      </c>
      <c r="D914" s="34" t="s">
        <v>98</v>
      </c>
      <c r="E914" s="34" t="s">
        <v>124</v>
      </c>
      <c r="F914" s="34" t="s">
        <v>223</v>
      </c>
      <c r="G914" s="34" t="s">
        <v>90</v>
      </c>
      <c r="H914" s="35">
        <f>H915+H922</f>
        <v>1137.1599999999999</v>
      </c>
      <c r="I914" s="35">
        <f>I915+I922</f>
        <v>1140.42</v>
      </c>
      <c r="J914" s="35">
        <f>J915+J922</f>
        <v>1143.81</v>
      </c>
      <c r="K914" s="35">
        <v>1137.1599999999999</v>
      </c>
      <c r="L914" s="35">
        <v>1140.42</v>
      </c>
      <c r="M914" s="35">
        <v>1143.81</v>
      </c>
      <c r="N914" s="35"/>
      <c r="O914" s="35">
        <v>1137.1599999999999</v>
      </c>
      <c r="P914" s="35">
        <v>1140.42</v>
      </c>
      <c r="Q914" s="35">
        <v>1143.81</v>
      </c>
      <c r="R914" s="472">
        <f t="shared" si="350"/>
        <v>0</v>
      </c>
      <c r="S914" s="472">
        <f t="shared" si="351"/>
        <v>0</v>
      </c>
      <c r="T914" s="472">
        <f t="shared" si="352"/>
        <v>0</v>
      </c>
      <c r="U914" s="32" t="s">
        <v>70</v>
      </c>
      <c r="V914" s="33" t="s">
        <v>5</v>
      </c>
      <c r="W914" s="34" t="s">
        <v>98</v>
      </c>
      <c r="X914" s="34" t="s">
        <v>124</v>
      </c>
      <c r="Y914" s="34" t="s">
        <v>223</v>
      </c>
      <c r="Z914" s="34" t="s">
        <v>90</v>
      </c>
      <c r="AA914" s="12" t="b">
        <f t="shared" si="362"/>
        <v>1</v>
      </c>
      <c r="AB914" s="12" t="b">
        <f t="shared" si="363"/>
        <v>1</v>
      </c>
      <c r="AC914" s="12" t="b">
        <f t="shared" si="364"/>
        <v>1</v>
      </c>
      <c r="AD914" s="12" t="b">
        <f t="shared" si="365"/>
        <v>1</v>
      </c>
      <c r="AE914" s="12" t="b">
        <f t="shared" si="366"/>
        <v>1</v>
      </c>
      <c r="AF914" s="12" t="b">
        <f t="shared" si="367"/>
        <v>1</v>
      </c>
    </row>
    <row r="915" spans="1:32" s="12" customFormat="1" ht="15.75" customHeight="1">
      <c r="A915" s="285"/>
      <c r="B915" s="23" t="s">
        <v>662</v>
      </c>
      <c r="C915" s="56" t="s">
        <v>5</v>
      </c>
      <c r="D915" s="57" t="s">
        <v>98</v>
      </c>
      <c r="E915" s="57" t="s">
        <v>124</v>
      </c>
      <c r="F915" s="57" t="s">
        <v>282</v>
      </c>
      <c r="G915" s="57" t="s">
        <v>90</v>
      </c>
      <c r="H915" s="58">
        <f t="shared" ref="H915:J918" si="374">H916</f>
        <v>437.15999999999997</v>
      </c>
      <c r="I915" s="58">
        <f t="shared" si="374"/>
        <v>440.42000000000007</v>
      </c>
      <c r="J915" s="58">
        <f t="shared" si="374"/>
        <v>443.81000000000006</v>
      </c>
      <c r="K915" s="58">
        <v>437.15999999999997</v>
      </c>
      <c r="L915" s="58">
        <v>440.42000000000007</v>
      </c>
      <c r="M915" s="58">
        <v>443.81000000000006</v>
      </c>
      <c r="N915" s="58"/>
      <c r="O915" s="58">
        <v>437.15999999999997</v>
      </c>
      <c r="P915" s="58">
        <v>440.42000000000007</v>
      </c>
      <c r="Q915" s="58">
        <v>443.81000000000006</v>
      </c>
      <c r="R915" s="472">
        <f t="shared" si="350"/>
        <v>0</v>
      </c>
      <c r="S915" s="472">
        <f t="shared" si="351"/>
        <v>0</v>
      </c>
      <c r="T915" s="472">
        <f t="shared" si="352"/>
        <v>0</v>
      </c>
      <c r="U915" s="23" t="s">
        <v>662</v>
      </c>
      <c r="V915" s="56" t="s">
        <v>5</v>
      </c>
      <c r="W915" s="57" t="s">
        <v>98</v>
      </c>
      <c r="X915" s="57" t="s">
        <v>124</v>
      </c>
      <c r="Y915" s="57" t="s">
        <v>282</v>
      </c>
      <c r="Z915" s="57" t="s">
        <v>90</v>
      </c>
      <c r="AA915" s="12" t="b">
        <f t="shared" si="362"/>
        <v>1</v>
      </c>
      <c r="AB915" s="12" t="b">
        <f t="shared" si="363"/>
        <v>1</v>
      </c>
      <c r="AC915" s="12" t="b">
        <f t="shared" si="364"/>
        <v>1</v>
      </c>
      <c r="AD915" s="12" t="b">
        <f t="shared" si="365"/>
        <v>1</v>
      </c>
      <c r="AE915" s="12" t="b">
        <f t="shared" si="366"/>
        <v>1</v>
      </c>
      <c r="AF915" s="12" t="b">
        <f t="shared" si="367"/>
        <v>1</v>
      </c>
    </row>
    <row r="916" spans="1:32" s="12" customFormat="1" ht="15.75" customHeight="1">
      <c r="A916" s="285"/>
      <c r="B916" s="23" t="s">
        <v>663</v>
      </c>
      <c r="C916" s="36" t="s">
        <v>5</v>
      </c>
      <c r="D916" s="57" t="s">
        <v>98</v>
      </c>
      <c r="E916" s="57" t="s">
        <v>124</v>
      </c>
      <c r="F916" s="57" t="s">
        <v>283</v>
      </c>
      <c r="G916" s="57" t="s">
        <v>90</v>
      </c>
      <c r="H916" s="58">
        <f t="shared" si="374"/>
        <v>437.15999999999997</v>
      </c>
      <c r="I916" s="58">
        <f t="shared" si="374"/>
        <v>440.42000000000007</v>
      </c>
      <c r="J916" s="58">
        <f t="shared" si="374"/>
        <v>443.81000000000006</v>
      </c>
      <c r="K916" s="58">
        <v>437.15999999999997</v>
      </c>
      <c r="L916" s="58">
        <v>440.42000000000007</v>
      </c>
      <c r="M916" s="58">
        <v>443.81000000000006</v>
      </c>
      <c r="N916" s="58"/>
      <c r="O916" s="58">
        <v>437.15999999999997</v>
      </c>
      <c r="P916" s="58">
        <v>440.42000000000007</v>
      </c>
      <c r="Q916" s="58">
        <v>443.81000000000006</v>
      </c>
      <c r="R916" s="472">
        <f t="shared" si="350"/>
        <v>0</v>
      </c>
      <c r="S916" s="472">
        <f t="shared" si="351"/>
        <v>0</v>
      </c>
      <c r="T916" s="472">
        <f t="shared" si="352"/>
        <v>0</v>
      </c>
      <c r="U916" s="23" t="s">
        <v>663</v>
      </c>
      <c r="V916" s="36" t="s">
        <v>5</v>
      </c>
      <c r="W916" s="57" t="s">
        <v>98</v>
      </c>
      <c r="X916" s="57" t="s">
        <v>124</v>
      </c>
      <c r="Y916" s="57" t="s">
        <v>283</v>
      </c>
      <c r="Z916" s="57" t="s">
        <v>90</v>
      </c>
      <c r="AA916" s="12" t="b">
        <f t="shared" si="362"/>
        <v>1</v>
      </c>
      <c r="AB916" s="12" t="b">
        <f t="shared" si="363"/>
        <v>1</v>
      </c>
      <c r="AC916" s="12" t="b">
        <f t="shared" si="364"/>
        <v>1</v>
      </c>
      <c r="AD916" s="12" t="b">
        <f t="shared" si="365"/>
        <v>1</v>
      </c>
      <c r="AE916" s="12" t="b">
        <f t="shared" si="366"/>
        <v>1</v>
      </c>
      <c r="AF916" s="12" t="b">
        <f t="shared" si="367"/>
        <v>1</v>
      </c>
    </row>
    <row r="917" spans="1:32" s="12" customFormat="1" ht="15.75" customHeight="1">
      <c r="A917" s="285"/>
      <c r="B917" s="182" t="s">
        <v>284</v>
      </c>
      <c r="C917" s="36" t="s">
        <v>5</v>
      </c>
      <c r="D917" s="57" t="s">
        <v>98</v>
      </c>
      <c r="E917" s="57" t="s">
        <v>124</v>
      </c>
      <c r="F917" s="57" t="s">
        <v>287</v>
      </c>
      <c r="G917" s="57" t="s">
        <v>90</v>
      </c>
      <c r="H917" s="58">
        <f>H918+H920</f>
        <v>437.15999999999997</v>
      </c>
      <c r="I917" s="58">
        <f>I918+I920</f>
        <v>440.42000000000007</v>
      </c>
      <c r="J917" s="58">
        <f>J918+J920</f>
        <v>443.81000000000006</v>
      </c>
      <c r="K917" s="58">
        <v>437.15999999999997</v>
      </c>
      <c r="L917" s="58">
        <v>440.42000000000007</v>
      </c>
      <c r="M917" s="58">
        <v>443.81000000000006</v>
      </c>
      <c r="N917" s="58"/>
      <c r="O917" s="58">
        <v>437.15999999999997</v>
      </c>
      <c r="P917" s="58">
        <v>440.42000000000007</v>
      </c>
      <c r="Q917" s="58">
        <v>443.81000000000006</v>
      </c>
      <c r="R917" s="472">
        <f t="shared" si="350"/>
        <v>0</v>
      </c>
      <c r="S917" s="472">
        <f t="shared" si="351"/>
        <v>0</v>
      </c>
      <c r="T917" s="472">
        <f t="shared" si="352"/>
        <v>0</v>
      </c>
      <c r="U917" s="182" t="s">
        <v>284</v>
      </c>
      <c r="V917" s="36" t="s">
        <v>5</v>
      </c>
      <c r="W917" s="57" t="s">
        <v>98</v>
      </c>
      <c r="X917" s="57" t="s">
        <v>124</v>
      </c>
      <c r="Y917" s="57" t="s">
        <v>287</v>
      </c>
      <c r="Z917" s="57" t="s">
        <v>90</v>
      </c>
      <c r="AA917" s="12" t="b">
        <f t="shared" si="362"/>
        <v>1</v>
      </c>
      <c r="AB917" s="12" t="b">
        <f t="shared" si="363"/>
        <v>1</v>
      </c>
      <c r="AC917" s="12" t="b">
        <f t="shared" si="364"/>
        <v>1</v>
      </c>
      <c r="AD917" s="12" t="b">
        <f t="shared" si="365"/>
        <v>1</v>
      </c>
      <c r="AE917" s="12" t="b">
        <f t="shared" si="366"/>
        <v>1</v>
      </c>
      <c r="AF917" s="12" t="b">
        <f t="shared" si="367"/>
        <v>1</v>
      </c>
    </row>
    <row r="918" spans="1:32" s="12" customFormat="1" ht="15.75" customHeight="1">
      <c r="A918" s="285"/>
      <c r="B918" s="182" t="s">
        <v>194</v>
      </c>
      <c r="C918" s="36" t="s">
        <v>5</v>
      </c>
      <c r="D918" s="57" t="s">
        <v>98</v>
      </c>
      <c r="E918" s="57" t="s">
        <v>124</v>
      </c>
      <c r="F918" s="57" t="s">
        <v>957</v>
      </c>
      <c r="G918" s="57" t="s">
        <v>90</v>
      </c>
      <c r="H918" s="58">
        <f t="shared" si="374"/>
        <v>388.44</v>
      </c>
      <c r="I918" s="58">
        <f t="shared" si="374"/>
        <v>391.70000000000005</v>
      </c>
      <c r="J918" s="58">
        <f t="shared" si="374"/>
        <v>395.09000000000003</v>
      </c>
      <c r="K918" s="58">
        <v>388.44</v>
      </c>
      <c r="L918" s="58">
        <v>391.70000000000005</v>
      </c>
      <c r="M918" s="58">
        <v>395.09000000000003</v>
      </c>
      <c r="N918" s="58"/>
      <c r="O918" s="58">
        <v>388.44</v>
      </c>
      <c r="P918" s="58">
        <v>391.70000000000005</v>
      </c>
      <c r="Q918" s="58">
        <v>395.09000000000003</v>
      </c>
      <c r="R918" s="472">
        <f t="shared" si="350"/>
        <v>0</v>
      </c>
      <c r="S918" s="472">
        <f t="shared" si="351"/>
        <v>0</v>
      </c>
      <c r="T918" s="472">
        <f t="shared" si="352"/>
        <v>0</v>
      </c>
      <c r="U918" s="182" t="s">
        <v>194</v>
      </c>
      <c r="V918" s="36" t="s">
        <v>5</v>
      </c>
      <c r="W918" s="57" t="s">
        <v>98</v>
      </c>
      <c r="X918" s="57" t="s">
        <v>124</v>
      </c>
      <c r="Y918" s="57" t="s">
        <v>957</v>
      </c>
      <c r="Z918" s="57" t="s">
        <v>90</v>
      </c>
      <c r="AA918" s="12" t="b">
        <f t="shared" si="362"/>
        <v>1</v>
      </c>
      <c r="AB918" s="12" t="b">
        <f t="shared" si="363"/>
        <v>1</v>
      </c>
      <c r="AC918" s="12" t="b">
        <f t="shared" si="364"/>
        <v>1</v>
      </c>
      <c r="AD918" s="12" t="b">
        <f t="shared" si="365"/>
        <v>1</v>
      </c>
      <c r="AE918" s="12" t="b">
        <f t="shared" si="366"/>
        <v>1</v>
      </c>
      <c r="AF918" s="12" t="b">
        <f t="shared" si="367"/>
        <v>1</v>
      </c>
    </row>
    <row r="919" spans="1:32" s="12" customFormat="1" ht="15.75" customHeight="1">
      <c r="A919" s="285"/>
      <c r="B919" s="182" t="s">
        <v>145</v>
      </c>
      <c r="C919" s="36" t="s">
        <v>5</v>
      </c>
      <c r="D919" s="37" t="s">
        <v>98</v>
      </c>
      <c r="E919" s="37" t="s">
        <v>124</v>
      </c>
      <c r="F919" s="37" t="s">
        <v>957</v>
      </c>
      <c r="G919" s="37" t="s">
        <v>153</v>
      </c>
      <c r="H919" s="183">
        <f>200+1.6+186.84</f>
        <v>388.44</v>
      </c>
      <c r="I919" s="183">
        <f>200+4.86+186.84</f>
        <v>391.70000000000005</v>
      </c>
      <c r="J919" s="183">
        <f>200+4.86+3.39+186.84</f>
        <v>395.09000000000003</v>
      </c>
      <c r="K919" s="183">
        <v>388.44</v>
      </c>
      <c r="L919" s="183">
        <v>391.70000000000005</v>
      </c>
      <c r="M919" s="183">
        <v>395.09000000000003</v>
      </c>
      <c r="N919" s="183"/>
      <c r="O919" s="183">
        <v>388.44</v>
      </c>
      <c r="P919" s="183">
        <v>391.70000000000005</v>
      </c>
      <c r="Q919" s="183">
        <v>395.09000000000003</v>
      </c>
      <c r="R919" s="472">
        <f t="shared" si="350"/>
        <v>0</v>
      </c>
      <c r="S919" s="472">
        <f t="shared" si="351"/>
        <v>0</v>
      </c>
      <c r="T919" s="472">
        <f t="shared" si="352"/>
        <v>0</v>
      </c>
      <c r="U919" s="182" t="s">
        <v>145</v>
      </c>
      <c r="V919" s="36" t="s">
        <v>5</v>
      </c>
      <c r="W919" s="37" t="s">
        <v>98</v>
      </c>
      <c r="X919" s="37" t="s">
        <v>124</v>
      </c>
      <c r="Y919" s="37" t="s">
        <v>957</v>
      </c>
      <c r="Z919" s="37" t="s">
        <v>153</v>
      </c>
      <c r="AA919" s="12" t="b">
        <f t="shared" si="362"/>
        <v>1</v>
      </c>
      <c r="AB919" s="12" t="b">
        <f t="shared" si="363"/>
        <v>1</v>
      </c>
      <c r="AC919" s="12" t="b">
        <f t="shared" si="364"/>
        <v>1</v>
      </c>
      <c r="AD919" s="12" t="b">
        <f t="shared" si="365"/>
        <v>1</v>
      </c>
      <c r="AE919" s="12" t="b">
        <f t="shared" si="366"/>
        <v>1</v>
      </c>
      <c r="AF919" s="12" t="b">
        <f t="shared" si="367"/>
        <v>1</v>
      </c>
    </row>
    <row r="920" spans="1:32" s="12" customFormat="1" ht="15.75" customHeight="1">
      <c r="A920" s="285"/>
      <c r="B920" s="182" t="s">
        <v>739</v>
      </c>
      <c r="C920" s="36" t="s">
        <v>5</v>
      </c>
      <c r="D920" s="37" t="s">
        <v>98</v>
      </c>
      <c r="E920" s="37" t="s">
        <v>124</v>
      </c>
      <c r="F920" s="37" t="s">
        <v>955</v>
      </c>
      <c r="G920" s="37" t="s">
        <v>90</v>
      </c>
      <c r="H920" s="183">
        <f t="shared" ref="H920:J924" si="375">H921</f>
        <v>48.72</v>
      </c>
      <c r="I920" s="183">
        <f t="shared" si="375"/>
        <v>48.72</v>
      </c>
      <c r="J920" s="183">
        <f t="shared" si="375"/>
        <v>48.72</v>
      </c>
      <c r="K920" s="183">
        <v>48.72</v>
      </c>
      <c r="L920" s="183">
        <v>48.72</v>
      </c>
      <c r="M920" s="183">
        <v>48.72</v>
      </c>
      <c r="N920" s="183"/>
      <c r="O920" s="183">
        <v>48.72</v>
      </c>
      <c r="P920" s="183">
        <v>48.72</v>
      </c>
      <c r="Q920" s="183">
        <v>48.72</v>
      </c>
      <c r="R920" s="472">
        <f t="shared" si="350"/>
        <v>0</v>
      </c>
      <c r="S920" s="472">
        <f t="shared" si="351"/>
        <v>0</v>
      </c>
      <c r="T920" s="472">
        <f t="shared" si="352"/>
        <v>0</v>
      </c>
      <c r="U920" s="182" t="s">
        <v>739</v>
      </c>
      <c r="V920" s="36" t="s">
        <v>5</v>
      </c>
      <c r="W920" s="37" t="s">
        <v>98</v>
      </c>
      <c r="X920" s="37" t="s">
        <v>124</v>
      </c>
      <c r="Y920" s="37" t="s">
        <v>955</v>
      </c>
      <c r="Z920" s="37" t="s">
        <v>90</v>
      </c>
      <c r="AA920" s="12" t="b">
        <f t="shared" si="362"/>
        <v>1</v>
      </c>
      <c r="AB920" s="12" t="b">
        <f t="shared" si="363"/>
        <v>1</v>
      </c>
      <c r="AC920" s="12" t="b">
        <f t="shared" si="364"/>
        <v>1</v>
      </c>
      <c r="AD920" s="12" t="b">
        <f t="shared" si="365"/>
        <v>1</v>
      </c>
      <c r="AE920" s="12" t="b">
        <f t="shared" si="366"/>
        <v>1</v>
      </c>
      <c r="AF920" s="12" t="b">
        <f t="shared" si="367"/>
        <v>1</v>
      </c>
    </row>
    <row r="921" spans="1:32" s="12" customFormat="1" ht="15.75" customHeight="1">
      <c r="A921" s="285"/>
      <c r="B921" s="182" t="s">
        <v>145</v>
      </c>
      <c r="C921" s="36" t="s">
        <v>5</v>
      </c>
      <c r="D921" s="37" t="s">
        <v>98</v>
      </c>
      <c r="E921" s="37" t="s">
        <v>124</v>
      </c>
      <c r="F921" s="37" t="s">
        <v>955</v>
      </c>
      <c r="G921" s="37" t="s">
        <v>153</v>
      </c>
      <c r="H921" s="183">
        <v>48.72</v>
      </c>
      <c r="I921" s="183">
        <v>48.72</v>
      </c>
      <c r="J921" s="183">
        <v>48.72</v>
      </c>
      <c r="K921" s="183">
        <v>48.72</v>
      </c>
      <c r="L921" s="183">
        <v>48.72</v>
      </c>
      <c r="M921" s="183">
        <v>48.72</v>
      </c>
      <c r="N921" s="183"/>
      <c r="O921" s="183">
        <v>48.72</v>
      </c>
      <c r="P921" s="183">
        <v>48.72</v>
      </c>
      <c r="Q921" s="183">
        <v>48.72</v>
      </c>
      <c r="R921" s="472">
        <f t="shared" si="350"/>
        <v>0</v>
      </c>
      <c r="S921" s="472">
        <f t="shared" si="351"/>
        <v>0</v>
      </c>
      <c r="T921" s="472">
        <f t="shared" si="352"/>
        <v>0</v>
      </c>
      <c r="U921" s="182" t="s">
        <v>145</v>
      </c>
      <c r="V921" s="36" t="s">
        <v>5</v>
      </c>
      <c r="W921" s="37" t="s">
        <v>98</v>
      </c>
      <c r="X921" s="37" t="s">
        <v>124</v>
      </c>
      <c r="Y921" s="37" t="s">
        <v>955</v>
      </c>
      <c r="Z921" s="37" t="s">
        <v>153</v>
      </c>
      <c r="AA921" s="12" t="b">
        <f t="shared" si="362"/>
        <v>1</v>
      </c>
      <c r="AB921" s="12" t="b">
        <f t="shared" si="363"/>
        <v>1</v>
      </c>
      <c r="AC921" s="12" t="b">
        <f t="shared" si="364"/>
        <v>1</v>
      </c>
      <c r="AD921" s="12" t="b">
        <f t="shared" si="365"/>
        <v>1</v>
      </c>
      <c r="AE921" s="12" t="b">
        <f t="shared" si="366"/>
        <v>1</v>
      </c>
      <c r="AF921" s="12" t="b">
        <f t="shared" si="367"/>
        <v>1</v>
      </c>
    </row>
    <row r="922" spans="1:32" s="12" customFormat="1" ht="15.75" customHeight="1">
      <c r="A922" s="285"/>
      <c r="B922" s="182" t="s">
        <v>607</v>
      </c>
      <c r="C922" s="36" t="s">
        <v>5</v>
      </c>
      <c r="D922" s="37" t="s">
        <v>98</v>
      </c>
      <c r="E922" s="37" t="s">
        <v>124</v>
      </c>
      <c r="F922" s="37" t="s">
        <v>604</v>
      </c>
      <c r="G922" s="37" t="s">
        <v>90</v>
      </c>
      <c r="H922" s="183">
        <f t="shared" si="375"/>
        <v>700</v>
      </c>
      <c r="I922" s="183">
        <f t="shared" si="375"/>
        <v>700</v>
      </c>
      <c r="J922" s="183">
        <f t="shared" si="375"/>
        <v>700</v>
      </c>
      <c r="K922" s="183">
        <v>700</v>
      </c>
      <c r="L922" s="183">
        <v>700</v>
      </c>
      <c r="M922" s="183">
        <v>700</v>
      </c>
      <c r="N922" s="183"/>
      <c r="O922" s="183">
        <v>700</v>
      </c>
      <c r="P922" s="183">
        <v>700</v>
      </c>
      <c r="Q922" s="183">
        <v>700</v>
      </c>
      <c r="R922" s="472">
        <f t="shared" si="350"/>
        <v>0</v>
      </c>
      <c r="S922" s="472">
        <f t="shared" si="351"/>
        <v>0</v>
      </c>
      <c r="T922" s="472">
        <f t="shared" si="352"/>
        <v>0</v>
      </c>
      <c r="U922" s="182" t="s">
        <v>607</v>
      </c>
      <c r="V922" s="36" t="s">
        <v>5</v>
      </c>
      <c r="W922" s="37" t="s">
        <v>98</v>
      </c>
      <c r="X922" s="37" t="s">
        <v>124</v>
      </c>
      <c r="Y922" s="37" t="s">
        <v>604</v>
      </c>
      <c r="Z922" s="37" t="s">
        <v>90</v>
      </c>
      <c r="AA922" s="12" t="b">
        <f t="shared" si="362"/>
        <v>1</v>
      </c>
      <c r="AB922" s="12" t="b">
        <f t="shared" si="363"/>
        <v>1</v>
      </c>
      <c r="AC922" s="12" t="b">
        <f t="shared" si="364"/>
        <v>1</v>
      </c>
      <c r="AD922" s="12" t="b">
        <f t="shared" si="365"/>
        <v>1</v>
      </c>
      <c r="AE922" s="12" t="b">
        <f t="shared" si="366"/>
        <v>1</v>
      </c>
      <c r="AF922" s="12" t="b">
        <f t="shared" si="367"/>
        <v>1</v>
      </c>
    </row>
    <row r="923" spans="1:32" s="12" customFormat="1" ht="15.75" customHeight="1">
      <c r="A923" s="285"/>
      <c r="B923" s="182" t="s">
        <v>608</v>
      </c>
      <c r="C923" s="36" t="s">
        <v>5</v>
      </c>
      <c r="D923" s="37" t="s">
        <v>98</v>
      </c>
      <c r="E923" s="37" t="s">
        <v>124</v>
      </c>
      <c r="F923" s="37" t="s">
        <v>605</v>
      </c>
      <c r="G923" s="37" t="s">
        <v>90</v>
      </c>
      <c r="H923" s="183">
        <f t="shared" si="375"/>
        <v>700</v>
      </c>
      <c r="I923" s="183">
        <f t="shared" si="375"/>
        <v>700</v>
      </c>
      <c r="J923" s="183">
        <f t="shared" si="375"/>
        <v>700</v>
      </c>
      <c r="K923" s="183">
        <v>700</v>
      </c>
      <c r="L923" s="183">
        <v>700</v>
      </c>
      <c r="M923" s="183">
        <v>700</v>
      </c>
      <c r="N923" s="183"/>
      <c r="O923" s="183">
        <v>700</v>
      </c>
      <c r="P923" s="183">
        <v>700</v>
      </c>
      <c r="Q923" s="183">
        <v>700</v>
      </c>
      <c r="R923" s="472">
        <f t="shared" si="350"/>
        <v>0</v>
      </c>
      <c r="S923" s="472">
        <f t="shared" si="351"/>
        <v>0</v>
      </c>
      <c r="T923" s="472">
        <f t="shared" si="352"/>
        <v>0</v>
      </c>
      <c r="U923" s="182" t="s">
        <v>608</v>
      </c>
      <c r="V923" s="36" t="s">
        <v>5</v>
      </c>
      <c r="W923" s="37" t="s">
        <v>98</v>
      </c>
      <c r="X923" s="37" t="s">
        <v>124</v>
      </c>
      <c r="Y923" s="37" t="s">
        <v>605</v>
      </c>
      <c r="Z923" s="37" t="s">
        <v>90</v>
      </c>
      <c r="AA923" s="12" t="b">
        <f t="shared" si="362"/>
        <v>1</v>
      </c>
      <c r="AB923" s="12" t="b">
        <f t="shared" si="363"/>
        <v>1</v>
      </c>
      <c r="AC923" s="12" t="b">
        <f t="shared" si="364"/>
        <v>1</v>
      </c>
      <c r="AD923" s="12" t="b">
        <f t="shared" si="365"/>
        <v>1</v>
      </c>
      <c r="AE923" s="12" t="b">
        <f t="shared" si="366"/>
        <v>1</v>
      </c>
      <c r="AF923" s="12" t="b">
        <f t="shared" si="367"/>
        <v>1</v>
      </c>
    </row>
    <row r="924" spans="1:32" s="12" customFormat="1" ht="15.75" customHeight="1">
      <c r="A924" s="285"/>
      <c r="B924" s="413" t="s">
        <v>997</v>
      </c>
      <c r="C924" s="36" t="s">
        <v>5</v>
      </c>
      <c r="D924" s="37" t="s">
        <v>98</v>
      </c>
      <c r="E924" s="37" t="s">
        <v>124</v>
      </c>
      <c r="F924" s="37" t="s">
        <v>996</v>
      </c>
      <c r="G924" s="37" t="s">
        <v>90</v>
      </c>
      <c r="H924" s="183">
        <f t="shared" si="375"/>
        <v>700</v>
      </c>
      <c r="I924" s="183">
        <f t="shared" si="375"/>
        <v>700</v>
      </c>
      <c r="J924" s="183">
        <f t="shared" si="375"/>
        <v>700</v>
      </c>
      <c r="K924" s="183">
        <v>700</v>
      </c>
      <c r="L924" s="183">
        <v>700</v>
      </c>
      <c r="M924" s="183">
        <v>700</v>
      </c>
      <c r="N924" s="183"/>
      <c r="O924" s="183">
        <v>700</v>
      </c>
      <c r="P924" s="183">
        <v>700</v>
      </c>
      <c r="Q924" s="183">
        <v>700</v>
      </c>
      <c r="R924" s="472">
        <f t="shared" si="350"/>
        <v>0</v>
      </c>
      <c r="S924" s="472">
        <f t="shared" si="351"/>
        <v>0</v>
      </c>
      <c r="T924" s="472">
        <f t="shared" si="352"/>
        <v>0</v>
      </c>
      <c r="U924" s="413" t="s">
        <v>997</v>
      </c>
      <c r="V924" s="36" t="s">
        <v>5</v>
      </c>
      <c r="W924" s="37" t="s">
        <v>98</v>
      </c>
      <c r="X924" s="37" t="s">
        <v>124</v>
      </c>
      <c r="Y924" s="37" t="s">
        <v>996</v>
      </c>
      <c r="Z924" s="37" t="s">
        <v>90</v>
      </c>
      <c r="AA924" s="12" t="b">
        <f t="shared" si="362"/>
        <v>1</v>
      </c>
      <c r="AB924" s="12" t="b">
        <f t="shared" si="363"/>
        <v>1</v>
      </c>
      <c r="AC924" s="12" t="b">
        <f t="shared" si="364"/>
        <v>1</v>
      </c>
      <c r="AD924" s="12" t="b">
        <f t="shared" si="365"/>
        <v>1</v>
      </c>
      <c r="AE924" s="12" t="b">
        <f t="shared" si="366"/>
        <v>1</v>
      </c>
      <c r="AF924" s="12" t="b">
        <f t="shared" si="367"/>
        <v>1</v>
      </c>
    </row>
    <row r="925" spans="1:32" s="12" customFormat="1" ht="15.75" customHeight="1">
      <c r="A925" s="285"/>
      <c r="B925" s="182" t="s">
        <v>145</v>
      </c>
      <c r="C925" s="36" t="s">
        <v>5</v>
      </c>
      <c r="D925" s="37" t="s">
        <v>98</v>
      </c>
      <c r="E925" s="37" t="s">
        <v>124</v>
      </c>
      <c r="F925" s="37" t="s">
        <v>996</v>
      </c>
      <c r="G925" s="37" t="s">
        <v>153</v>
      </c>
      <c r="H925" s="183">
        <v>700</v>
      </c>
      <c r="I925" s="183">
        <v>700</v>
      </c>
      <c r="J925" s="183">
        <v>700</v>
      </c>
      <c r="K925" s="183">
        <v>700</v>
      </c>
      <c r="L925" s="183">
        <v>700</v>
      </c>
      <c r="M925" s="183">
        <v>700</v>
      </c>
      <c r="N925" s="183"/>
      <c r="O925" s="183">
        <v>700</v>
      </c>
      <c r="P925" s="183">
        <v>700</v>
      </c>
      <c r="Q925" s="183">
        <v>700</v>
      </c>
      <c r="R925" s="472">
        <f t="shared" ref="R925:R951" si="376">H925-O925</f>
        <v>0</v>
      </c>
      <c r="S925" s="472">
        <f t="shared" ref="S925:S951" si="377">I925-P925</f>
        <v>0</v>
      </c>
      <c r="T925" s="472">
        <f t="shared" ref="T925:T951" si="378">J925-Q925</f>
        <v>0</v>
      </c>
      <c r="U925" s="182" t="s">
        <v>145</v>
      </c>
      <c r="V925" s="36" t="s">
        <v>5</v>
      </c>
      <c r="W925" s="37" t="s">
        <v>98</v>
      </c>
      <c r="X925" s="37" t="s">
        <v>124</v>
      </c>
      <c r="Y925" s="37" t="s">
        <v>996</v>
      </c>
      <c r="Z925" s="37" t="s">
        <v>153</v>
      </c>
      <c r="AA925" s="12" t="b">
        <f t="shared" si="362"/>
        <v>1</v>
      </c>
      <c r="AB925" s="12" t="b">
        <f t="shared" si="363"/>
        <v>1</v>
      </c>
      <c r="AC925" s="12" t="b">
        <f t="shared" si="364"/>
        <v>1</v>
      </c>
      <c r="AD925" s="12" t="b">
        <f t="shared" si="365"/>
        <v>1</v>
      </c>
      <c r="AE925" s="12" t="b">
        <f t="shared" si="366"/>
        <v>1</v>
      </c>
      <c r="AF925" s="12" t="b">
        <f t="shared" si="367"/>
        <v>1</v>
      </c>
    </row>
    <row r="926" spans="1:32" s="12" customFormat="1" ht="15.75" customHeight="1">
      <c r="A926" s="285"/>
      <c r="B926" s="28" t="s">
        <v>67</v>
      </c>
      <c r="C926" s="29" t="s">
        <v>5</v>
      </c>
      <c r="D926" s="30" t="s">
        <v>69</v>
      </c>
      <c r="E926" s="30" t="s">
        <v>83</v>
      </c>
      <c r="F926" s="30" t="s">
        <v>223</v>
      </c>
      <c r="G926" s="30" t="s">
        <v>90</v>
      </c>
      <c r="H926" s="31">
        <f t="shared" ref="H926:J929" si="379">H927</f>
        <v>99448.150000000009</v>
      </c>
      <c r="I926" s="31">
        <f t="shared" si="379"/>
        <v>103225.91</v>
      </c>
      <c r="J926" s="31">
        <f t="shared" si="379"/>
        <v>103225.91</v>
      </c>
      <c r="K926" s="31">
        <v>99448.150000000009</v>
      </c>
      <c r="L926" s="31">
        <v>103225.91</v>
      </c>
      <c r="M926" s="31">
        <v>103225.91</v>
      </c>
      <c r="N926" s="31"/>
      <c r="O926" s="31">
        <v>99448.150000000009</v>
      </c>
      <c r="P926" s="31">
        <v>103225.91</v>
      </c>
      <c r="Q926" s="31">
        <v>103225.91</v>
      </c>
      <c r="R926" s="472">
        <f t="shared" si="376"/>
        <v>0</v>
      </c>
      <c r="S926" s="472">
        <f t="shared" si="377"/>
        <v>0</v>
      </c>
      <c r="T926" s="472">
        <f t="shared" si="378"/>
        <v>0</v>
      </c>
      <c r="U926" s="28" t="s">
        <v>67</v>
      </c>
      <c r="V926" s="29" t="s">
        <v>5</v>
      </c>
      <c r="W926" s="30" t="s">
        <v>69</v>
      </c>
      <c r="X926" s="30" t="s">
        <v>83</v>
      </c>
      <c r="Y926" s="30" t="s">
        <v>223</v>
      </c>
      <c r="Z926" s="30" t="s">
        <v>90</v>
      </c>
      <c r="AA926" s="12" t="b">
        <f t="shared" si="362"/>
        <v>1</v>
      </c>
      <c r="AB926" s="12" t="b">
        <f t="shared" si="363"/>
        <v>1</v>
      </c>
      <c r="AC926" s="12" t="b">
        <f t="shared" si="364"/>
        <v>1</v>
      </c>
      <c r="AD926" s="12" t="b">
        <f t="shared" si="365"/>
        <v>1</v>
      </c>
      <c r="AE926" s="12" t="b">
        <f t="shared" si="366"/>
        <v>1</v>
      </c>
      <c r="AF926" s="12" t="b">
        <f t="shared" si="367"/>
        <v>1</v>
      </c>
    </row>
    <row r="927" spans="1:32" s="12" customFormat="1" ht="15.75" customHeight="1">
      <c r="A927" s="285"/>
      <c r="B927" s="32" t="s">
        <v>125</v>
      </c>
      <c r="C927" s="33" t="s">
        <v>5</v>
      </c>
      <c r="D927" s="34" t="s">
        <v>69</v>
      </c>
      <c r="E927" s="34" t="s">
        <v>33</v>
      </c>
      <c r="F927" s="34" t="s">
        <v>223</v>
      </c>
      <c r="G927" s="34" t="s">
        <v>90</v>
      </c>
      <c r="H927" s="35">
        <f t="shared" si="379"/>
        <v>99448.150000000009</v>
      </c>
      <c r="I927" s="35">
        <f t="shared" si="379"/>
        <v>103225.91</v>
      </c>
      <c r="J927" s="35">
        <f t="shared" si="379"/>
        <v>103225.91</v>
      </c>
      <c r="K927" s="35">
        <v>99448.150000000009</v>
      </c>
      <c r="L927" s="35">
        <v>103225.91</v>
      </c>
      <c r="M927" s="35">
        <v>103225.91</v>
      </c>
      <c r="N927" s="35"/>
      <c r="O927" s="35">
        <v>99448.150000000009</v>
      </c>
      <c r="P927" s="35">
        <v>103225.91</v>
      </c>
      <c r="Q927" s="35">
        <v>103225.91</v>
      </c>
      <c r="R927" s="472">
        <f t="shared" si="376"/>
        <v>0</v>
      </c>
      <c r="S927" s="472">
        <f t="shared" si="377"/>
        <v>0</v>
      </c>
      <c r="T927" s="472">
        <f t="shared" si="378"/>
        <v>0</v>
      </c>
      <c r="U927" s="32" t="s">
        <v>125</v>
      </c>
      <c r="V927" s="33" t="s">
        <v>5</v>
      </c>
      <c r="W927" s="34" t="s">
        <v>69</v>
      </c>
      <c r="X927" s="34" t="s">
        <v>33</v>
      </c>
      <c r="Y927" s="34" t="s">
        <v>223</v>
      </c>
      <c r="Z927" s="34" t="s">
        <v>90</v>
      </c>
      <c r="AA927" s="12" t="b">
        <f t="shared" si="362"/>
        <v>1</v>
      </c>
      <c r="AB927" s="12" t="b">
        <f t="shared" si="363"/>
        <v>1</v>
      </c>
      <c r="AC927" s="12" t="b">
        <f t="shared" si="364"/>
        <v>1</v>
      </c>
      <c r="AD927" s="12" t="b">
        <f t="shared" si="365"/>
        <v>1</v>
      </c>
      <c r="AE927" s="12" t="b">
        <f t="shared" si="366"/>
        <v>1</v>
      </c>
      <c r="AF927" s="12" t="b">
        <f t="shared" si="367"/>
        <v>1</v>
      </c>
    </row>
    <row r="928" spans="1:32" s="12" customFormat="1" ht="15.75" customHeight="1">
      <c r="A928" s="285"/>
      <c r="B928" s="23" t="s">
        <v>1166</v>
      </c>
      <c r="C928" s="56" t="s">
        <v>5</v>
      </c>
      <c r="D928" s="57" t="s">
        <v>69</v>
      </c>
      <c r="E928" s="57" t="s">
        <v>33</v>
      </c>
      <c r="F928" s="57" t="s">
        <v>296</v>
      </c>
      <c r="G928" s="57" t="s">
        <v>90</v>
      </c>
      <c r="H928" s="58">
        <f t="shared" si="379"/>
        <v>99448.150000000009</v>
      </c>
      <c r="I928" s="58">
        <f t="shared" si="379"/>
        <v>103225.91</v>
      </c>
      <c r="J928" s="58">
        <f t="shared" si="379"/>
        <v>103225.91</v>
      </c>
      <c r="K928" s="58">
        <v>99448.150000000009</v>
      </c>
      <c r="L928" s="58">
        <v>103225.91</v>
      </c>
      <c r="M928" s="58">
        <v>103225.91</v>
      </c>
      <c r="N928" s="58"/>
      <c r="O928" s="58">
        <v>99448.150000000009</v>
      </c>
      <c r="P928" s="58">
        <v>103225.91</v>
      </c>
      <c r="Q928" s="58">
        <v>103225.91</v>
      </c>
      <c r="R928" s="472">
        <f t="shared" si="376"/>
        <v>0</v>
      </c>
      <c r="S928" s="472">
        <f t="shared" si="377"/>
        <v>0</v>
      </c>
      <c r="T928" s="472">
        <f t="shared" si="378"/>
        <v>0</v>
      </c>
      <c r="U928" s="23" t="s">
        <v>1166</v>
      </c>
      <c r="V928" s="56" t="s">
        <v>5</v>
      </c>
      <c r="W928" s="57" t="s">
        <v>69</v>
      </c>
      <c r="X928" s="57" t="s">
        <v>33</v>
      </c>
      <c r="Y928" s="57" t="s">
        <v>296</v>
      </c>
      <c r="Z928" s="57" t="s">
        <v>90</v>
      </c>
      <c r="AA928" s="12" t="b">
        <f t="shared" si="362"/>
        <v>1</v>
      </c>
      <c r="AB928" s="12" t="b">
        <f t="shared" si="363"/>
        <v>1</v>
      </c>
      <c r="AC928" s="12" t="b">
        <f t="shared" si="364"/>
        <v>1</v>
      </c>
      <c r="AD928" s="12" t="b">
        <f t="shared" si="365"/>
        <v>1</v>
      </c>
      <c r="AE928" s="12" t="b">
        <f t="shared" si="366"/>
        <v>1</v>
      </c>
      <c r="AF928" s="12" t="b">
        <f t="shared" si="367"/>
        <v>1</v>
      </c>
    </row>
    <row r="929" spans="1:32" s="12" customFormat="1" ht="15.75" customHeight="1">
      <c r="A929" s="285"/>
      <c r="B929" s="23" t="s">
        <v>1213</v>
      </c>
      <c r="C929" s="56" t="s">
        <v>5</v>
      </c>
      <c r="D929" s="57" t="s">
        <v>69</v>
      </c>
      <c r="E929" s="57" t="s">
        <v>33</v>
      </c>
      <c r="F929" s="57" t="s">
        <v>297</v>
      </c>
      <c r="G929" s="57" t="s">
        <v>90</v>
      </c>
      <c r="H929" s="58">
        <f t="shared" si="379"/>
        <v>99448.150000000009</v>
      </c>
      <c r="I929" s="58">
        <f t="shared" si="379"/>
        <v>103225.91</v>
      </c>
      <c r="J929" s="58">
        <f t="shared" si="379"/>
        <v>103225.91</v>
      </c>
      <c r="K929" s="58">
        <v>99448.150000000009</v>
      </c>
      <c r="L929" s="58">
        <v>103225.91</v>
      </c>
      <c r="M929" s="58">
        <v>103225.91</v>
      </c>
      <c r="N929" s="58"/>
      <c r="O929" s="58">
        <v>99448.150000000009</v>
      </c>
      <c r="P929" s="58">
        <v>103225.91</v>
      </c>
      <c r="Q929" s="58">
        <v>103225.91</v>
      </c>
      <c r="R929" s="472">
        <f t="shared" si="376"/>
        <v>0</v>
      </c>
      <c r="S929" s="472">
        <f t="shared" si="377"/>
        <v>0</v>
      </c>
      <c r="T929" s="472">
        <f t="shared" si="378"/>
        <v>0</v>
      </c>
      <c r="U929" s="494" t="s">
        <v>1213</v>
      </c>
      <c r="V929" s="56" t="s">
        <v>5</v>
      </c>
      <c r="W929" s="57" t="s">
        <v>69</v>
      </c>
      <c r="X929" s="57" t="s">
        <v>33</v>
      </c>
      <c r="Y929" s="57" t="s">
        <v>297</v>
      </c>
      <c r="Z929" s="57" t="s">
        <v>90</v>
      </c>
      <c r="AA929" s="12" t="b">
        <f t="shared" si="362"/>
        <v>1</v>
      </c>
      <c r="AB929" s="12" t="b">
        <f t="shared" si="363"/>
        <v>1</v>
      </c>
      <c r="AC929" s="12" t="b">
        <f t="shared" si="364"/>
        <v>1</v>
      </c>
      <c r="AD929" s="12" t="b">
        <f t="shared" si="365"/>
        <v>1</v>
      </c>
      <c r="AE929" s="12" t="b">
        <f t="shared" si="366"/>
        <v>1</v>
      </c>
      <c r="AF929" s="12" t="b">
        <f t="shared" si="367"/>
        <v>1</v>
      </c>
    </row>
    <row r="930" spans="1:32" s="12" customFormat="1" ht="15.75" customHeight="1">
      <c r="A930" s="285"/>
      <c r="B930" s="65" t="s">
        <v>554</v>
      </c>
      <c r="C930" s="56" t="s">
        <v>5</v>
      </c>
      <c r="D930" s="57" t="s">
        <v>69</v>
      </c>
      <c r="E930" s="57" t="s">
        <v>33</v>
      </c>
      <c r="F930" s="57" t="s">
        <v>298</v>
      </c>
      <c r="G930" s="57" t="s">
        <v>90</v>
      </c>
      <c r="H930" s="58">
        <f>H933+H931</f>
        <v>99448.150000000009</v>
      </c>
      <c r="I930" s="58">
        <f>I933+I931</f>
        <v>103225.91</v>
      </c>
      <c r="J930" s="58">
        <f>J933+J931</f>
        <v>103225.91</v>
      </c>
      <c r="K930" s="58">
        <v>99448.150000000009</v>
      </c>
      <c r="L930" s="58">
        <v>103225.91</v>
      </c>
      <c r="M930" s="58">
        <v>103225.91</v>
      </c>
      <c r="N930" s="58"/>
      <c r="O930" s="58">
        <v>99448.150000000009</v>
      </c>
      <c r="P930" s="58">
        <v>103225.91</v>
      </c>
      <c r="Q930" s="58">
        <v>103225.91</v>
      </c>
      <c r="R930" s="472">
        <f t="shared" si="376"/>
        <v>0</v>
      </c>
      <c r="S930" s="472">
        <f t="shared" si="377"/>
        <v>0</v>
      </c>
      <c r="T930" s="472">
        <f t="shared" si="378"/>
        <v>0</v>
      </c>
      <c r="U930" s="65" t="s">
        <v>554</v>
      </c>
      <c r="V930" s="56" t="s">
        <v>5</v>
      </c>
      <c r="W930" s="57" t="s">
        <v>69</v>
      </c>
      <c r="X930" s="57" t="s">
        <v>33</v>
      </c>
      <c r="Y930" s="57" t="s">
        <v>298</v>
      </c>
      <c r="Z930" s="57" t="s">
        <v>90</v>
      </c>
      <c r="AA930" s="12" t="b">
        <f t="shared" si="362"/>
        <v>1</v>
      </c>
      <c r="AB930" s="12" t="b">
        <f t="shared" si="363"/>
        <v>1</v>
      </c>
      <c r="AC930" s="12" t="b">
        <f t="shared" si="364"/>
        <v>1</v>
      </c>
      <c r="AD930" s="12" t="b">
        <f t="shared" si="365"/>
        <v>1</v>
      </c>
      <c r="AE930" s="12" t="b">
        <f t="shared" si="366"/>
        <v>1</v>
      </c>
      <c r="AF930" s="12" t="b">
        <f t="shared" si="367"/>
        <v>1</v>
      </c>
    </row>
    <row r="931" spans="1:32" s="15" customFormat="1" ht="15.75" customHeight="1">
      <c r="A931" s="292"/>
      <c r="B931" s="182" t="s">
        <v>432</v>
      </c>
      <c r="C931" s="36" t="s">
        <v>5</v>
      </c>
      <c r="D931" s="37" t="s">
        <v>69</v>
      </c>
      <c r="E931" s="37" t="s">
        <v>33</v>
      </c>
      <c r="F931" s="37" t="s">
        <v>433</v>
      </c>
      <c r="G931" s="37" t="s">
        <v>90</v>
      </c>
      <c r="H931" s="183">
        <f>H932</f>
        <v>15430.019999999999</v>
      </c>
      <c r="I931" s="183">
        <f>I932</f>
        <v>20069.78</v>
      </c>
      <c r="J931" s="183">
        <f>J932</f>
        <v>20069.78</v>
      </c>
      <c r="K931" s="183">
        <v>15430.019999999999</v>
      </c>
      <c r="L931" s="183">
        <v>20069.78</v>
      </c>
      <c r="M931" s="183">
        <v>20069.78</v>
      </c>
      <c r="N931" s="183"/>
      <c r="O931" s="183">
        <v>15430.019999999999</v>
      </c>
      <c r="P931" s="183">
        <v>20069.78</v>
      </c>
      <c r="Q931" s="183">
        <v>20069.78</v>
      </c>
      <c r="R931" s="472">
        <f t="shared" si="376"/>
        <v>0</v>
      </c>
      <c r="S931" s="472">
        <f t="shared" si="377"/>
        <v>0</v>
      </c>
      <c r="T931" s="472">
        <f t="shared" si="378"/>
        <v>0</v>
      </c>
      <c r="U931" s="182" t="s">
        <v>432</v>
      </c>
      <c r="V931" s="36" t="s">
        <v>5</v>
      </c>
      <c r="W931" s="37" t="s">
        <v>69</v>
      </c>
      <c r="X931" s="37" t="s">
        <v>33</v>
      </c>
      <c r="Y931" s="37" t="s">
        <v>433</v>
      </c>
      <c r="Z931" s="37" t="s">
        <v>90</v>
      </c>
      <c r="AA931" s="12" t="b">
        <f t="shared" si="362"/>
        <v>1</v>
      </c>
      <c r="AB931" s="12" t="b">
        <f t="shared" si="363"/>
        <v>1</v>
      </c>
      <c r="AC931" s="12" t="b">
        <f t="shared" si="364"/>
        <v>1</v>
      </c>
      <c r="AD931" s="12" t="b">
        <f t="shared" si="365"/>
        <v>1</v>
      </c>
      <c r="AE931" s="12" t="b">
        <f t="shared" si="366"/>
        <v>1</v>
      </c>
      <c r="AF931" s="12" t="b">
        <f t="shared" si="367"/>
        <v>1</v>
      </c>
    </row>
    <row r="932" spans="1:32" s="15" customFormat="1" ht="15.75" customHeight="1">
      <c r="A932" s="292"/>
      <c r="B932" s="54" t="s">
        <v>145</v>
      </c>
      <c r="C932" s="56" t="s">
        <v>5</v>
      </c>
      <c r="D932" s="57" t="s">
        <v>69</v>
      </c>
      <c r="E932" s="57" t="s">
        <v>33</v>
      </c>
      <c r="F932" s="57" t="s">
        <v>433</v>
      </c>
      <c r="G932" s="57" t="s">
        <v>153</v>
      </c>
      <c r="H932" s="58">
        <f>20069.78-7139.76+700+300+1500</f>
        <v>15430.019999999999</v>
      </c>
      <c r="I932" s="58">
        <f>20069.78</f>
        <v>20069.78</v>
      </c>
      <c r="J932" s="58">
        <f>20069.78</f>
        <v>20069.78</v>
      </c>
      <c r="K932" s="58">
        <v>15430.019999999999</v>
      </c>
      <c r="L932" s="58">
        <v>20069.78</v>
      </c>
      <c r="M932" s="58">
        <v>20069.78</v>
      </c>
      <c r="N932" s="58"/>
      <c r="O932" s="58">
        <v>15430.019999999999</v>
      </c>
      <c r="P932" s="58">
        <v>20069.78</v>
      </c>
      <c r="Q932" s="58">
        <v>20069.78</v>
      </c>
      <c r="R932" s="472">
        <f t="shared" si="376"/>
        <v>0</v>
      </c>
      <c r="S932" s="472">
        <f t="shared" si="377"/>
        <v>0</v>
      </c>
      <c r="T932" s="472">
        <f t="shared" si="378"/>
        <v>0</v>
      </c>
      <c r="U932" s="54" t="s">
        <v>145</v>
      </c>
      <c r="V932" s="56" t="s">
        <v>5</v>
      </c>
      <c r="W932" s="57" t="s">
        <v>69</v>
      </c>
      <c r="X932" s="57" t="s">
        <v>33</v>
      </c>
      <c r="Y932" s="57" t="s">
        <v>433</v>
      </c>
      <c r="Z932" s="57" t="s">
        <v>153</v>
      </c>
      <c r="AA932" s="12" t="b">
        <f t="shared" si="362"/>
        <v>1</v>
      </c>
      <c r="AB932" s="12" t="b">
        <f t="shared" si="363"/>
        <v>1</v>
      </c>
      <c r="AC932" s="12" t="b">
        <f t="shared" si="364"/>
        <v>1</v>
      </c>
      <c r="AD932" s="12" t="b">
        <f t="shared" si="365"/>
        <v>1</v>
      </c>
      <c r="AE932" s="12" t="b">
        <f t="shared" si="366"/>
        <v>1</v>
      </c>
      <c r="AF932" s="12" t="b">
        <f t="shared" si="367"/>
        <v>1</v>
      </c>
    </row>
    <row r="933" spans="1:32" s="12" customFormat="1" ht="15.75" customHeight="1">
      <c r="A933" s="285"/>
      <c r="B933" s="182" t="s">
        <v>763</v>
      </c>
      <c r="C933" s="36" t="s">
        <v>5</v>
      </c>
      <c r="D933" s="37" t="s">
        <v>69</v>
      </c>
      <c r="E933" s="37" t="s">
        <v>33</v>
      </c>
      <c r="F933" s="37" t="s">
        <v>771</v>
      </c>
      <c r="G933" s="37" t="s">
        <v>90</v>
      </c>
      <c r="H933" s="183">
        <f>H934</f>
        <v>84018.13</v>
      </c>
      <c r="I933" s="183">
        <f>I934</f>
        <v>83156.13</v>
      </c>
      <c r="J933" s="183">
        <f>J934</f>
        <v>83156.13</v>
      </c>
      <c r="K933" s="183">
        <v>84018.13</v>
      </c>
      <c r="L933" s="183">
        <v>83156.13</v>
      </c>
      <c r="M933" s="183">
        <v>83156.13</v>
      </c>
      <c r="N933" s="183"/>
      <c r="O933" s="183">
        <v>84018.13</v>
      </c>
      <c r="P933" s="183">
        <v>83156.13</v>
      </c>
      <c r="Q933" s="183">
        <v>83156.13</v>
      </c>
      <c r="R933" s="472">
        <f t="shared" si="376"/>
        <v>0</v>
      </c>
      <c r="S933" s="472">
        <f t="shared" si="377"/>
        <v>0</v>
      </c>
      <c r="T933" s="472">
        <f t="shared" si="378"/>
        <v>0</v>
      </c>
      <c r="U933" s="182" t="s">
        <v>763</v>
      </c>
      <c r="V933" s="36" t="s">
        <v>5</v>
      </c>
      <c r="W933" s="37" t="s">
        <v>69</v>
      </c>
      <c r="X933" s="37" t="s">
        <v>33</v>
      </c>
      <c r="Y933" s="37" t="s">
        <v>771</v>
      </c>
      <c r="Z933" s="37" t="s">
        <v>90</v>
      </c>
      <c r="AA933" s="12" t="b">
        <f t="shared" si="362"/>
        <v>1</v>
      </c>
      <c r="AB933" s="12" t="b">
        <f t="shared" si="363"/>
        <v>1</v>
      </c>
      <c r="AC933" s="12" t="b">
        <f t="shared" si="364"/>
        <v>1</v>
      </c>
      <c r="AD933" s="12" t="b">
        <f t="shared" si="365"/>
        <v>1</v>
      </c>
      <c r="AE933" s="12" t="b">
        <f t="shared" si="366"/>
        <v>1</v>
      </c>
      <c r="AF933" s="12" t="b">
        <f t="shared" si="367"/>
        <v>1</v>
      </c>
    </row>
    <row r="934" spans="1:32" s="12" customFormat="1" ht="15.75" customHeight="1">
      <c r="A934" s="285"/>
      <c r="B934" s="182" t="s">
        <v>145</v>
      </c>
      <c r="C934" s="36" t="s">
        <v>5</v>
      </c>
      <c r="D934" s="37" t="s">
        <v>69</v>
      </c>
      <c r="E934" s="37" t="s">
        <v>33</v>
      </c>
      <c r="F934" s="37" t="s">
        <v>771</v>
      </c>
      <c r="G934" s="37" t="s">
        <v>153</v>
      </c>
      <c r="H934" s="183">
        <f>83156.13+862</f>
        <v>84018.13</v>
      </c>
      <c r="I934" s="183">
        <v>83156.13</v>
      </c>
      <c r="J934" s="183">
        <v>83156.13</v>
      </c>
      <c r="K934" s="183">
        <v>84018.13</v>
      </c>
      <c r="L934" s="183">
        <v>83156.13</v>
      </c>
      <c r="M934" s="183">
        <v>83156.13</v>
      </c>
      <c r="N934" s="183"/>
      <c r="O934" s="183">
        <v>84018.13</v>
      </c>
      <c r="P934" s="183">
        <v>83156.13</v>
      </c>
      <c r="Q934" s="183">
        <v>83156.13</v>
      </c>
      <c r="R934" s="472">
        <f t="shared" si="376"/>
        <v>0</v>
      </c>
      <c r="S934" s="472">
        <f t="shared" si="377"/>
        <v>0</v>
      </c>
      <c r="T934" s="472">
        <f t="shared" si="378"/>
        <v>0</v>
      </c>
      <c r="U934" s="182" t="s">
        <v>145</v>
      </c>
      <c r="V934" s="36" t="s">
        <v>5</v>
      </c>
      <c r="W934" s="37" t="s">
        <v>69</v>
      </c>
      <c r="X934" s="37" t="s">
        <v>33</v>
      </c>
      <c r="Y934" s="37" t="s">
        <v>771</v>
      </c>
      <c r="Z934" s="37" t="s">
        <v>153</v>
      </c>
      <c r="AA934" s="12" t="b">
        <f t="shared" si="362"/>
        <v>1</v>
      </c>
      <c r="AB934" s="12" t="b">
        <f t="shared" si="363"/>
        <v>1</v>
      </c>
      <c r="AC934" s="12" t="b">
        <f t="shared" si="364"/>
        <v>1</v>
      </c>
      <c r="AD934" s="12" t="b">
        <f t="shared" si="365"/>
        <v>1</v>
      </c>
      <c r="AE934" s="12" t="b">
        <f t="shared" si="366"/>
        <v>1</v>
      </c>
      <c r="AF934" s="12" t="b">
        <f t="shared" si="367"/>
        <v>1</v>
      </c>
    </row>
    <row r="935" spans="1:32" s="12" customFormat="1" ht="15.75" customHeight="1">
      <c r="A935" s="285"/>
      <c r="B935" s="28" t="s">
        <v>6</v>
      </c>
      <c r="C935" s="29" t="s">
        <v>5</v>
      </c>
      <c r="D935" s="30" t="s">
        <v>7</v>
      </c>
      <c r="E935" s="30" t="s">
        <v>83</v>
      </c>
      <c r="F935" s="30" t="s">
        <v>223</v>
      </c>
      <c r="G935" s="30" t="s">
        <v>90</v>
      </c>
      <c r="H935" s="31">
        <f>H936+H942</f>
        <v>62848.999999999993</v>
      </c>
      <c r="I935" s="31">
        <f>I936+I942</f>
        <v>34749.65</v>
      </c>
      <c r="J935" s="31">
        <f>J936+J942</f>
        <v>34755.440000000002</v>
      </c>
      <c r="K935" s="31">
        <v>62848.999999999993</v>
      </c>
      <c r="L935" s="31">
        <v>34749.65</v>
      </c>
      <c r="M935" s="31">
        <v>34755.440000000002</v>
      </c>
      <c r="N935" s="31"/>
      <c r="O935" s="31">
        <v>56322.689999999995</v>
      </c>
      <c r="P935" s="31">
        <v>34749.65</v>
      </c>
      <c r="Q935" s="31">
        <v>34755.440000000002</v>
      </c>
      <c r="R935" s="472">
        <f t="shared" si="376"/>
        <v>6526.3099999999977</v>
      </c>
      <c r="S935" s="472">
        <f t="shared" si="377"/>
        <v>0</v>
      </c>
      <c r="T935" s="472">
        <f t="shared" si="378"/>
        <v>0</v>
      </c>
      <c r="U935" s="28" t="s">
        <v>6</v>
      </c>
      <c r="V935" s="29" t="s">
        <v>5</v>
      </c>
      <c r="W935" s="30" t="s">
        <v>7</v>
      </c>
      <c r="X935" s="30" t="s">
        <v>83</v>
      </c>
      <c r="Y935" s="30" t="s">
        <v>223</v>
      </c>
      <c r="Z935" s="30" t="s">
        <v>90</v>
      </c>
      <c r="AA935" s="12" t="b">
        <f t="shared" si="362"/>
        <v>1</v>
      </c>
      <c r="AB935" s="12" t="b">
        <f t="shared" si="363"/>
        <v>1</v>
      </c>
      <c r="AC935" s="12" t="b">
        <f t="shared" si="364"/>
        <v>1</v>
      </c>
      <c r="AD935" s="12" t="b">
        <f t="shared" si="365"/>
        <v>1</v>
      </c>
      <c r="AE935" s="12" t="b">
        <f t="shared" si="366"/>
        <v>1</v>
      </c>
      <c r="AF935" s="12" t="b">
        <f t="shared" si="367"/>
        <v>1</v>
      </c>
    </row>
    <row r="936" spans="1:32" s="12" customFormat="1" ht="15.75" customHeight="1">
      <c r="A936" s="285"/>
      <c r="B936" s="32" t="s">
        <v>8</v>
      </c>
      <c r="C936" s="33" t="s">
        <v>5</v>
      </c>
      <c r="D936" s="34" t="s">
        <v>7</v>
      </c>
      <c r="E936" s="34" t="s">
        <v>98</v>
      </c>
      <c r="F936" s="34" t="s">
        <v>223</v>
      </c>
      <c r="G936" s="34" t="s">
        <v>90</v>
      </c>
      <c r="H936" s="35">
        <f>H937</f>
        <v>1508.3500000000001</v>
      </c>
      <c r="I936" s="35">
        <f>I937</f>
        <v>1508.3500000000001</v>
      </c>
      <c r="J936" s="35">
        <f>J937</f>
        <v>1508.3500000000001</v>
      </c>
      <c r="K936" s="35">
        <v>1508.3500000000001</v>
      </c>
      <c r="L936" s="35">
        <v>1508.3500000000001</v>
      </c>
      <c r="M936" s="35">
        <v>1508.3500000000001</v>
      </c>
      <c r="N936" s="35"/>
      <c r="O936" s="35">
        <v>1508.3500000000001</v>
      </c>
      <c r="P936" s="35">
        <v>1508.3500000000001</v>
      </c>
      <c r="Q936" s="35">
        <v>1508.3500000000001</v>
      </c>
      <c r="R936" s="472">
        <f t="shared" si="376"/>
        <v>0</v>
      </c>
      <c r="S936" s="472">
        <f t="shared" si="377"/>
        <v>0</v>
      </c>
      <c r="T936" s="472">
        <f t="shared" si="378"/>
        <v>0</v>
      </c>
      <c r="U936" s="32" t="s">
        <v>8</v>
      </c>
      <c r="V936" s="33" t="s">
        <v>5</v>
      </c>
      <c r="W936" s="34" t="s">
        <v>7</v>
      </c>
      <c r="X936" s="34" t="s">
        <v>98</v>
      </c>
      <c r="Y936" s="34" t="s">
        <v>223</v>
      </c>
      <c r="Z936" s="34" t="s">
        <v>90</v>
      </c>
      <c r="AA936" s="12" t="b">
        <f t="shared" si="362"/>
        <v>1</v>
      </c>
      <c r="AB936" s="12" t="b">
        <f t="shared" si="363"/>
        <v>1</v>
      </c>
      <c r="AC936" s="12" t="b">
        <f t="shared" si="364"/>
        <v>1</v>
      </c>
      <c r="AD936" s="12" t="b">
        <f t="shared" si="365"/>
        <v>1</v>
      </c>
      <c r="AE936" s="12" t="b">
        <f t="shared" si="366"/>
        <v>1</v>
      </c>
      <c r="AF936" s="12" t="b">
        <f t="shared" si="367"/>
        <v>1</v>
      </c>
    </row>
    <row r="937" spans="1:32" s="12" customFormat="1" ht="15.75" customHeight="1">
      <c r="A937" s="285"/>
      <c r="B937" s="23" t="s">
        <v>1166</v>
      </c>
      <c r="C937" s="56" t="s">
        <v>5</v>
      </c>
      <c r="D937" s="57" t="s">
        <v>7</v>
      </c>
      <c r="E937" s="57" t="s">
        <v>98</v>
      </c>
      <c r="F937" s="57" t="s">
        <v>296</v>
      </c>
      <c r="G937" s="57" t="s">
        <v>90</v>
      </c>
      <c r="H937" s="58">
        <f t="shared" ref="H937:J940" si="380">H938</f>
        <v>1508.3500000000001</v>
      </c>
      <c r="I937" s="58">
        <f t="shared" si="380"/>
        <v>1508.3500000000001</v>
      </c>
      <c r="J937" s="58">
        <f t="shared" si="380"/>
        <v>1508.3500000000001</v>
      </c>
      <c r="K937" s="58">
        <v>1508.3500000000001</v>
      </c>
      <c r="L937" s="58">
        <v>1508.3500000000001</v>
      </c>
      <c r="M937" s="58">
        <v>1508.3500000000001</v>
      </c>
      <c r="N937" s="58"/>
      <c r="O937" s="58">
        <v>1508.3500000000001</v>
      </c>
      <c r="P937" s="58">
        <v>1508.3500000000001</v>
      </c>
      <c r="Q937" s="58">
        <v>1508.3500000000001</v>
      </c>
      <c r="R937" s="472">
        <f t="shared" si="376"/>
        <v>0</v>
      </c>
      <c r="S937" s="472">
        <f t="shared" si="377"/>
        <v>0</v>
      </c>
      <c r="T937" s="472">
        <f t="shared" si="378"/>
        <v>0</v>
      </c>
      <c r="U937" s="23" t="s">
        <v>1166</v>
      </c>
      <c r="V937" s="56" t="s">
        <v>5</v>
      </c>
      <c r="W937" s="57" t="s">
        <v>7</v>
      </c>
      <c r="X937" s="57" t="s">
        <v>98</v>
      </c>
      <c r="Y937" s="57" t="s">
        <v>296</v>
      </c>
      <c r="Z937" s="57" t="s">
        <v>90</v>
      </c>
      <c r="AA937" s="12" t="b">
        <f t="shared" si="362"/>
        <v>1</v>
      </c>
      <c r="AB937" s="12" t="b">
        <f t="shared" si="363"/>
        <v>1</v>
      </c>
      <c r="AC937" s="12" t="b">
        <f t="shared" si="364"/>
        <v>1</v>
      </c>
      <c r="AD937" s="12" t="b">
        <f t="shared" si="365"/>
        <v>1</v>
      </c>
      <c r="AE937" s="12" t="b">
        <f t="shared" si="366"/>
        <v>1</v>
      </c>
      <c r="AF937" s="12" t="b">
        <f t="shared" si="367"/>
        <v>1</v>
      </c>
    </row>
    <row r="938" spans="1:32" s="12" customFormat="1" ht="15.75" customHeight="1">
      <c r="A938" s="285"/>
      <c r="B938" s="65" t="s">
        <v>185</v>
      </c>
      <c r="C938" s="56" t="s">
        <v>5</v>
      </c>
      <c r="D938" s="57" t="s">
        <v>7</v>
      </c>
      <c r="E938" s="57" t="s">
        <v>98</v>
      </c>
      <c r="F938" s="57" t="s">
        <v>434</v>
      </c>
      <c r="G938" s="57" t="s">
        <v>90</v>
      </c>
      <c r="H938" s="58">
        <f t="shared" si="380"/>
        <v>1508.3500000000001</v>
      </c>
      <c r="I938" s="58">
        <f t="shared" si="380"/>
        <v>1508.3500000000001</v>
      </c>
      <c r="J938" s="58">
        <f t="shared" si="380"/>
        <v>1508.3500000000001</v>
      </c>
      <c r="K938" s="58">
        <v>1508.3500000000001</v>
      </c>
      <c r="L938" s="58">
        <v>1508.3500000000001</v>
      </c>
      <c r="M938" s="58">
        <v>1508.3500000000001</v>
      </c>
      <c r="N938" s="58"/>
      <c r="O938" s="58">
        <v>1508.3500000000001</v>
      </c>
      <c r="P938" s="58">
        <v>1508.3500000000001</v>
      </c>
      <c r="Q938" s="58">
        <v>1508.3500000000001</v>
      </c>
      <c r="R938" s="472">
        <f t="shared" si="376"/>
        <v>0</v>
      </c>
      <c r="S938" s="472">
        <f t="shared" si="377"/>
        <v>0</v>
      </c>
      <c r="T938" s="472">
        <f t="shared" si="378"/>
        <v>0</v>
      </c>
      <c r="U938" s="65" t="s">
        <v>185</v>
      </c>
      <c r="V938" s="56" t="s">
        <v>5</v>
      </c>
      <c r="W938" s="57" t="s">
        <v>7</v>
      </c>
      <c r="X938" s="57" t="s">
        <v>98</v>
      </c>
      <c r="Y938" s="57" t="s">
        <v>434</v>
      </c>
      <c r="Z938" s="57" t="s">
        <v>90</v>
      </c>
      <c r="AA938" s="12" t="b">
        <f t="shared" si="362"/>
        <v>1</v>
      </c>
      <c r="AB938" s="12" t="b">
        <f t="shared" si="363"/>
        <v>1</v>
      </c>
      <c r="AC938" s="12" t="b">
        <f t="shared" si="364"/>
        <v>1</v>
      </c>
      <c r="AD938" s="12" t="b">
        <f t="shared" si="365"/>
        <v>1</v>
      </c>
      <c r="AE938" s="12" t="b">
        <f t="shared" si="366"/>
        <v>1</v>
      </c>
      <c r="AF938" s="12" t="b">
        <f t="shared" si="367"/>
        <v>1</v>
      </c>
    </row>
    <row r="939" spans="1:32" s="12" customFormat="1" ht="15.75" customHeight="1">
      <c r="A939" s="285"/>
      <c r="B939" s="65" t="s">
        <v>435</v>
      </c>
      <c r="C939" s="56" t="s">
        <v>5</v>
      </c>
      <c r="D939" s="57" t="s">
        <v>7</v>
      </c>
      <c r="E939" s="57" t="s">
        <v>98</v>
      </c>
      <c r="F939" s="57" t="s">
        <v>436</v>
      </c>
      <c r="G939" s="57" t="s">
        <v>90</v>
      </c>
      <c r="H939" s="58">
        <f t="shared" si="380"/>
        <v>1508.3500000000001</v>
      </c>
      <c r="I939" s="58">
        <f t="shared" si="380"/>
        <v>1508.3500000000001</v>
      </c>
      <c r="J939" s="58">
        <f t="shared" si="380"/>
        <v>1508.3500000000001</v>
      </c>
      <c r="K939" s="58">
        <v>1508.3500000000001</v>
      </c>
      <c r="L939" s="58">
        <v>1508.3500000000001</v>
      </c>
      <c r="M939" s="58">
        <v>1508.3500000000001</v>
      </c>
      <c r="N939" s="58"/>
      <c r="O939" s="58">
        <v>1508.3500000000001</v>
      </c>
      <c r="P939" s="58">
        <v>1508.3500000000001</v>
      </c>
      <c r="Q939" s="58">
        <v>1508.3500000000001</v>
      </c>
      <c r="R939" s="472">
        <f t="shared" si="376"/>
        <v>0</v>
      </c>
      <c r="S939" s="472">
        <f t="shared" si="377"/>
        <v>0</v>
      </c>
      <c r="T939" s="472">
        <f t="shared" si="378"/>
        <v>0</v>
      </c>
      <c r="U939" s="65" t="s">
        <v>435</v>
      </c>
      <c r="V939" s="56" t="s">
        <v>5</v>
      </c>
      <c r="W939" s="57" t="s">
        <v>7</v>
      </c>
      <c r="X939" s="57" t="s">
        <v>98</v>
      </c>
      <c r="Y939" s="57" t="s">
        <v>436</v>
      </c>
      <c r="Z939" s="57" t="s">
        <v>90</v>
      </c>
      <c r="AA939" s="12" t="b">
        <f t="shared" si="362"/>
        <v>1</v>
      </c>
      <c r="AB939" s="12" t="b">
        <f t="shared" si="363"/>
        <v>1</v>
      </c>
      <c r="AC939" s="12" t="b">
        <f t="shared" si="364"/>
        <v>1</v>
      </c>
      <c r="AD939" s="12" t="b">
        <f t="shared" si="365"/>
        <v>1</v>
      </c>
      <c r="AE939" s="12" t="b">
        <f t="shared" si="366"/>
        <v>1</v>
      </c>
      <c r="AF939" s="12" t="b">
        <f t="shared" si="367"/>
        <v>1</v>
      </c>
    </row>
    <row r="940" spans="1:32" s="12" customFormat="1" ht="15.75" customHeight="1">
      <c r="A940" s="285"/>
      <c r="B940" s="182" t="s">
        <v>178</v>
      </c>
      <c r="C940" s="56" t="s">
        <v>5</v>
      </c>
      <c r="D940" s="57" t="s">
        <v>7</v>
      </c>
      <c r="E940" s="57" t="s">
        <v>98</v>
      </c>
      <c r="F940" s="57" t="s">
        <v>437</v>
      </c>
      <c r="G940" s="57" t="s">
        <v>90</v>
      </c>
      <c r="H940" s="58">
        <f t="shared" si="380"/>
        <v>1508.3500000000001</v>
      </c>
      <c r="I940" s="58">
        <f t="shared" si="380"/>
        <v>1508.3500000000001</v>
      </c>
      <c r="J940" s="58">
        <f t="shared" si="380"/>
        <v>1508.3500000000001</v>
      </c>
      <c r="K940" s="58">
        <v>1508.3500000000001</v>
      </c>
      <c r="L940" s="58">
        <v>1508.3500000000001</v>
      </c>
      <c r="M940" s="58">
        <v>1508.3500000000001</v>
      </c>
      <c r="N940" s="58"/>
      <c r="O940" s="58">
        <v>1508.3500000000001</v>
      </c>
      <c r="P940" s="58">
        <v>1508.3500000000001</v>
      </c>
      <c r="Q940" s="58">
        <v>1508.3500000000001</v>
      </c>
      <c r="R940" s="472">
        <f t="shared" si="376"/>
        <v>0</v>
      </c>
      <c r="S940" s="472">
        <f t="shared" si="377"/>
        <v>0</v>
      </c>
      <c r="T940" s="472">
        <f t="shared" si="378"/>
        <v>0</v>
      </c>
      <c r="U940" s="182" t="s">
        <v>178</v>
      </c>
      <c r="V940" s="56" t="s">
        <v>5</v>
      </c>
      <c r="W940" s="57" t="s">
        <v>7</v>
      </c>
      <c r="X940" s="57" t="s">
        <v>98</v>
      </c>
      <c r="Y940" s="57" t="s">
        <v>437</v>
      </c>
      <c r="Z940" s="57" t="s">
        <v>90</v>
      </c>
      <c r="AA940" s="12" t="b">
        <f t="shared" si="362"/>
        <v>1</v>
      </c>
      <c r="AB940" s="12" t="b">
        <f t="shared" si="363"/>
        <v>1</v>
      </c>
      <c r="AC940" s="12" t="b">
        <f t="shared" si="364"/>
        <v>1</v>
      </c>
      <c r="AD940" s="12" t="b">
        <f t="shared" si="365"/>
        <v>1</v>
      </c>
      <c r="AE940" s="12" t="b">
        <f t="shared" si="366"/>
        <v>1</v>
      </c>
      <c r="AF940" s="12" t="b">
        <f t="shared" si="367"/>
        <v>1</v>
      </c>
    </row>
    <row r="941" spans="1:32" s="12" customFormat="1" ht="15.75" customHeight="1">
      <c r="A941" s="285"/>
      <c r="B941" s="182" t="s">
        <v>145</v>
      </c>
      <c r="C941" s="36" t="s">
        <v>5</v>
      </c>
      <c r="D941" s="37" t="s">
        <v>7</v>
      </c>
      <c r="E941" s="37" t="s">
        <v>98</v>
      </c>
      <c r="F941" s="37" t="s">
        <v>437</v>
      </c>
      <c r="G941" s="37" t="s">
        <v>153</v>
      </c>
      <c r="H941" s="183">
        <f>1680-209.84+38.19</f>
        <v>1508.3500000000001</v>
      </c>
      <c r="I941" s="183">
        <f>1680-209.84+38.19</f>
        <v>1508.3500000000001</v>
      </c>
      <c r="J941" s="183">
        <f>1680-209.84+38.19</f>
        <v>1508.3500000000001</v>
      </c>
      <c r="K941" s="183">
        <v>1508.3500000000001</v>
      </c>
      <c r="L941" s="183">
        <v>1508.3500000000001</v>
      </c>
      <c r="M941" s="183">
        <v>1508.3500000000001</v>
      </c>
      <c r="N941" s="183"/>
      <c r="O941" s="183">
        <v>1508.3500000000001</v>
      </c>
      <c r="P941" s="183">
        <v>1508.3500000000001</v>
      </c>
      <c r="Q941" s="183">
        <v>1508.3500000000001</v>
      </c>
      <c r="R941" s="472">
        <f t="shared" si="376"/>
        <v>0</v>
      </c>
      <c r="S941" s="472">
        <f t="shared" si="377"/>
        <v>0</v>
      </c>
      <c r="T941" s="472">
        <f t="shared" si="378"/>
        <v>0</v>
      </c>
      <c r="U941" s="182" t="s">
        <v>145</v>
      </c>
      <c r="V941" s="36" t="s">
        <v>5</v>
      </c>
      <c r="W941" s="37" t="s">
        <v>7</v>
      </c>
      <c r="X941" s="37" t="s">
        <v>98</v>
      </c>
      <c r="Y941" s="37" t="s">
        <v>437</v>
      </c>
      <c r="Z941" s="37" t="s">
        <v>153</v>
      </c>
      <c r="AA941" s="12" t="b">
        <f t="shared" si="362"/>
        <v>1</v>
      </c>
      <c r="AB941" s="12" t="b">
        <f t="shared" si="363"/>
        <v>1</v>
      </c>
      <c r="AC941" s="12" t="b">
        <f t="shared" si="364"/>
        <v>1</v>
      </c>
      <c r="AD941" s="12" t="b">
        <f t="shared" si="365"/>
        <v>1</v>
      </c>
      <c r="AE941" s="12" t="b">
        <f t="shared" si="366"/>
        <v>1</v>
      </c>
      <c r="AF941" s="12" t="b">
        <f t="shared" si="367"/>
        <v>1</v>
      </c>
    </row>
    <row r="942" spans="1:32" s="12" customFormat="1" ht="15.75" customHeight="1">
      <c r="A942" s="285"/>
      <c r="B942" s="32" t="s">
        <v>1</v>
      </c>
      <c r="C942" s="33" t="s">
        <v>5</v>
      </c>
      <c r="D942" s="34" t="s">
        <v>7</v>
      </c>
      <c r="E942" s="34" t="s">
        <v>85</v>
      </c>
      <c r="F942" s="34" t="s">
        <v>223</v>
      </c>
      <c r="G942" s="34" t="s">
        <v>90</v>
      </c>
      <c r="H942" s="35">
        <f>H943</f>
        <v>61340.649999999994</v>
      </c>
      <c r="I942" s="35">
        <f>I943</f>
        <v>33241.300000000003</v>
      </c>
      <c r="J942" s="35">
        <f>J943</f>
        <v>33247.090000000004</v>
      </c>
      <c r="K942" s="35">
        <v>61340.649999999994</v>
      </c>
      <c r="L942" s="35">
        <v>33241.300000000003</v>
      </c>
      <c r="M942" s="35">
        <v>33247.090000000004</v>
      </c>
      <c r="N942" s="35"/>
      <c r="O942" s="35">
        <v>54814.34</v>
      </c>
      <c r="P942" s="35">
        <v>33241.300000000003</v>
      </c>
      <c r="Q942" s="35">
        <v>33247.090000000004</v>
      </c>
      <c r="R942" s="472">
        <f t="shared" si="376"/>
        <v>6526.3099999999977</v>
      </c>
      <c r="S942" s="472">
        <f t="shared" si="377"/>
        <v>0</v>
      </c>
      <c r="T942" s="472">
        <f t="shared" si="378"/>
        <v>0</v>
      </c>
      <c r="U942" s="32" t="s">
        <v>1</v>
      </c>
      <c r="V942" s="33" t="s">
        <v>5</v>
      </c>
      <c r="W942" s="34" t="s">
        <v>7</v>
      </c>
      <c r="X942" s="34" t="s">
        <v>85</v>
      </c>
      <c r="Y942" s="34" t="s">
        <v>223</v>
      </c>
      <c r="Z942" s="34" t="s">
        <v>90</v>
      </c>
      <c r="AA942" s="12" t="b">
        <f t="shared" si="362"/>
        <v>1</v>
      </c>
      <c r="AB942" s="12" t="b">
        <f t="shared" si="363"/>
        <v>1</v>
      </c>
      <c r="AC942" s="12" t="b">
        <f t="shared" si="364"/>
        <v>1</v>
      </c>
      <c r="AD942" s="12" t="b">
        <f t="shared" si="365"/>
        <v>1</v>
      </c>
      <c r="AE942" s="12" t="b">
        <f t="shared" si="366"/>
        <v>1</v>
      </c>
      <c r="AF942" s="12" t="b">
        <f t="shared" si="367"/>
        <v>1</v>
      </c>
    </row>
    <row r="943" spans="1:32" s="12" customFormat="1" ht="15.75" customHeight="1">
      <c r="A943" s="285"/>
      <c r="B943" s="23" t="s">
        <v>1166</v>
      </c>
      <c r="C943" s="56" t="s">
        <v>5</v>
      </c>
      <c r="D943" s="57" t="s">
        <v>7</v>
      </c>
      <c r="E943" s="57" t="s">
        <v>85</v>
      </c>
      <c r="F943" s="57" t="s">
        <v>296</v>
      </c>
      <c r="G943" s="57" t="s">
        <v>90</v>
      </c>
      <c r="H943" s="58">
        <f t="shared" ref="H943:J944" si="381">H944</f>
        <v>61340.649999999994</v>
      </c>
      <c r="I943" s="58">
        <f t="shared" si="381"/>
        <v>33241.300000000003</v>
      </c>
      <c r="J943" s="58">
        <f t="shared" si="381"/>
        <v>33247.090000000004</v>
      </c>
      <c r="K943" s="58">
        <v>61340.649999999994</v>
      </c>
      <c r="L943" s="58">
        <v>33241.300000000003</v>
      </c>
      <c r="M943" s="58">
        <v>33247.090000000004</v>
      </c>
      <c r="N943" s="58"/>
      <c r="O943" s="58">
        <v>54814.34</v>
      </c>
      <c r="P943" s="58">
        <v>33241.300000000003</v>
      </c>
      <c r="Q943" s="58">
        <v>33247.090000000004</v>
      </c>
      <c r="R943" s="472">
        <f t="shared" si="376"/>
        <v>6526.3099999999977</v>
      </c>
      <c r="S943" s="472">
        <f t="shared" si="377"/>
        <v>0</v>
      </c>
      <c r="T943" s="472">
        <f t="shared" si="378"/>
        <v>0</v>
      </c>
      <c r="U943" s="23" t="s">
        <v>1166</v>
      </c>
      <c r="V943" s="56" t="s">
        <v>5</v>
      </c>
      <c r="W943" s="57" t="s">
        <v>7</v>
      </c>
      <c r="X943" s="57" t="s">
        <v>85</v>
      </c>
      <c r="Y943" s="57" t="s">
        <v>296</v>
      </c>
      <c r="Z943" s="57" t="s">
        <v>90</v>
      </c>
      <c r="AA943" s="12" t="b">
        <f t="shared" si="362"/>
        <v>1</v>
      </c>
      <c r="AB943" s="12" t="b">
        <f t="shared" si="363"/>
        <v>1</v>
      </c>
      <c r="AC943" s="12" t="b">
        <f t="shared" si="364"/>
        <v>1</v>
      </c>
      <c r="AD943" s="12" t="b">
        <f t="shared" si="365"/>
        <v>1</v>
      </c>
      <c r="AE943" s="12" t="b">
        <f t="shared" si="366"/>
        <v>1</v>
      </c>
      <c r="AF943" s="12" t="b">
        <f t="shared" si="367"/>
        <v>1</v>
      </c>
    </row>
    <row r="944" spans="1:32" s="12" customFormat="1" ht="15.75" customHeight="1">
      <c r="A944" s="285"/>
      <c r="B944" s="182" t="s">
        <v>836</v>
      </c>
      <c r="C944" s="56" t="s">
        <v>5</v>
      </c>
      <c r="D944" s="57" t="s">
        <v>7</v>
      </c>
      <c r="E944" s="57" t="s">
        <v>85</v>
      </c>
      <c r="F944" s="57" t="s">
        <v>404</v>
      </c>
      <c r="G944" s="57" t="s">
        <v>90</v>
      </c>
      <c r="H944" s="58">
        <f t="shared" si="381"/>
        <v>61340.649999999994</v>
      </c>
      <c r="I944" s="58">
        <f t="shared" si="381"/>
        <v>33241.300000000003</v>
      </c>
      <c r="J944" s="58">
        <f t="shared" si="381"/>
        <v>33247.090000000004</v>
      </c>
      <c r="K944" s="58">
        <v>61340.649999999994</v>
      </c>
      <c r="L944" s="58">
        <v>33241.300000000003</v>
      </c>
      <c r="M944" s="58">
        <v>33247.090000000004</v>
      </c>
      <c r="N944" s="58"/>
      <c r="O944" s="58">
        <v>54814.34</v>
      </c>
      <c r="P944" s="58">
        <v>33241.300000000003</v>
      </c>
      <c r="Q944" s="58">
        <v>33247.090000000004</v>
      </c>
      <c r="R944" s="472">
        <f t="shared" si="376"/>
        <v>6526.3099999999977</v>
      </c>
      <c r="S944" s="472">
        <f t="shared" si="377"/>
        <v>0</v>
      </c>
      <c r="T944" s="472">
        <f t="shared" si="378"/>
        <v>0</v>
      </c>
      <c r="U944" s="182" t="s">
        <v>836</v>
      </c>
      <c r="V944" s="56" t="s">
        <v>5</v>
      </c>
      <c r="W944" s="57" t="s">
        <v>7</v>
      </c>
      <c r="X944" s="57" t="s">
        <v>85</v>
      </c>
      <c r="Y944" s="57" t="s">
        <v>404</v>
      </c>
      <c r="Z944" s="57" t="s">
        <v>90</v>
      </c>
      <c r="AA944" s="12" t="b">
        <f t="shared" si="362"/>
        <v>1</v>
      </c>
      <c r="AB944" s="12" t="b">
        <f t="shared" si="363"/>
        <v>1</v>
      </c>
      <c r="AC944" s="12" t="b">
        <f t="shared" si="364"/>
        <v>1</v>
      </c>
      <c r="AD944" s="12" t="b">
        <f t="shared" si="365"/>
        <v>1</v>
      </c>
      <c r="AE944" s="12" t="b">
        <f t="shared" si="366"/>
        <v>1</v>
      </c>
      <c r="AF944" s="12" t="b">
        <f t="shared" si="367"/>
        <v>1</v>
      </c>
    </row>
    <row r="945" spans="1:32" s="12" customFormat="1" ht="15.75" customHeight="1">
      <c r="A945" s="285"/>
      <c r="B945" s="178" t="s">
        <v>405</v>
      </c>
      <c r="C945" s="56" t="s">
        <v>5</v>
      </c>
      <c r="D945" s="57" t="s">
        <v>7</v>
      </c>
      <c r="E945" s="57" t="s">
        <v>85</v>
      </c>
      <c r="F945" s="37" t="s">
        <v>555</v>
      </c>
      <c r="G945" s="57" t="s">
        <v>90</v>
      </c>
      <c r="H945" s="58">
        <f>H946+H948+H950+H952+H958+H954+H956</f>
        <v>61340.649999999994</v>
      </c>
      <c r="I945" s="58">
        <f>I946+I948+I950</f>
        <v>33241.300000000003</v>
      </c>
      <c r="J945" s="58">
        <f>J946+J948+J950</f>
        <v>33247.090000000004</v>
      </c>
      <c r="K945" s="58">
        <v>61340.649999999994</v>
      </c>
      <c r="L945" s="58">
        <v>33241.300000000003</v>
      </c>
      <c r="M945" s="58">
        <v>33247.090000000004</v>
      </c>
      <c r="N945" s="58"/>
      <c r="O945" s="58">
        <v>54814.34</v>
      </c>
      <c r="P945" s="58">
        <v>33241.300000000003</v>
      </c>
      <c r="Q945" s="58">
        <v>33247.090000000004</v>
      </c>
      <c r="R945" s="472">
        <f t="shared" si="376"/>
        <v>6526.3099999999977</v>
      </c>
      <c r="S945" s="472">
        <f t="shared" si="377"/>
        <v>0</v>
      </c>
      <c r="T945" s="472">
        <f t="shared" si="378"/>
        <v>0</v>
      </c>
      <c r="U945" s="178" t="s">
        <v>405</v>
      </c>
      <c r="V945" s="56" t="s">
        <v>5</v>
      </c>
      <c r="W945" s="57" t="s">
        <v>7</v>
      </c>
      <c r="X945" s="57" t="s">
        <v>85</v>
      </c>
      <c r="Y945" s="37" t="s">
        <v>555</v>
      </c>
      <c r="Z945" s="57" t="s">
        <v>90</v>
      </c>
      <c r="AA945" s="12" t="b">
        <f t="shared" si="362"/>
        <v>1</v>
      </c>
      <c r="AB945" s="12" t="b">
        <f t="shared" si="363"/>
        <v>1</v>
      </c>
      <c r="AC945" s="12" t="b">
        <f t="shared" si="364"/>
        <v>1</v>
      </c>
      <c r="AD945" s="12" t="b">
        <f t="shared" si="365"/>
        <v>1</v>
      </c>
      <c r="AE945" s="12" t="b">
        <f t="shared" si="366"/>
        <v>1</v>
      </c>
      <c r="AF945" s="12" t="b">
        <f t="shared" si="367"/>
        <v>1</v>
      </c>
    </row>
    <row r="946" spans="1:32" s="12" customFormat="1" ht="15.75" customHeight="1">
      <c r="A946" s="285"/>
      <c r="B946" s="182" t="s">
        <v>187</v>
      </c>
      <c r="C946" s="56" t="s">
        <v>5</v>
      </c>
      <c r="D946" s="57" t="s">
        <v>7</v>
      </c>
      <c r="E946" s="57" t="s">
        <v>85</v>
      </c>
      <c r="F946" s="57" t="s">
        <v>556</v>
      </c>
      <c r="G946" s="57" t="s">
        <v>90</v>
      </c>
      <c r="H946" s="58">
        <f>H947</f>
        <v>26993.98</v>
      </c>
      <c r="I946" s="58">
        <f>I947</f>
        <v>22823.5</v>
      </c>
      <c r="J946" s="58">
        <f>J947</f>
        <v>22829.29</v>
      </c>
      <c r="K946" s="58">
        <v>26993.98</v>
      </c>
      <c r="L946" s="58">
        <v>22823.5</v>
      </c>
      <c r="M946" s="58">
        <v>22829.29</v>
      </c>
      <c r="N946" s="58"/>
      <c r="O946" s="58">
        <v>20467.669999999998</v>
      </c>
      <c r="P946" s="58">
        <v>22823.5</v>
      </c>
      <c r="Q946" s="58">
        <v>22829.29</v>
      </c>
      <c r="R946" s="472">
        <f t="shared" si="376"/>
        <v>6526.3100000000013</v>
      </c>
      <c r="S946" s="472">
        <f t="shared" si="377"/>
        <v>0</v>
      </c>
      <c r="T946" s="472">
        <f t="shared" si="378"/>
        <v>0</v>
      </c>
      <c r="U946" s="182" t="s">
        <v>187</v>
      </c>
      <c r="V946" s="56" t="s">
        <v>5</v>
      </c>
      <c r="W946" s="57" t="s">
        <v>7</v>
      </c>
      <c r="X946" s="57" t="s">
        <v>85</v>
      </c>
      <c r="Y946" s="57" t="s">
        <v>556</v>
      </c>
      <c r="Z946" s="57" t="s">
        <v>90</v>
      </c>
      <c r="AA946" s="12" t="b">
        <f t="shared" si="362"/>
        <v>1</v>
      </c>
      <c r="AB946" s="12" t="b">
        <f t="shared" si="363"/>
        <v>1</v>
      </c>
      <c r="AC946" s="12" t="b">
        <f t="shared" si="364"/>
        <v>1</v>
      </c>
      <c r="AD946" s="12" t="b">
        <f t="shared" si="365"/>
        <v>1</v>
      </c>
      <c r="AE946" s="12" t="b">
        <f t="shared" si="366"/>
        <v>1</v>
      </c>
      <c r="AF946" s="12" t="b">
        <f t="shared" si="367"/>
        <v>1</v>
      </c>
    </row>
    <row r="947" spans="1:32" s="12" customFormat="1" ht="15.75" customHeight="1">
      <c r="A947" s="285"/>
      <c r="B947" s="182" t="s">
        <v>145</v>
      </c>
      <c r="C947" s="36" t="s">
        <v>5</v>
      </c>
      <c r="D947" s="37" t="s">
        <v>7</v>
      </c>
      <c r="E947" s="37" t="s">
        <v>85</v>
      </c>
      <c r="F947" s="37" t="s">
        <v>556</v>
      </c>
      <c r="G947" s="37" t="s">
        <v>153</v>
      </c>
      <c r="H947" s="183">
        <f>21815.21-2350.27+2.73+1000+6526.31</f>
        <v>26993.98</v>
      </c>
      <c r="I947" s="183">
        <f>21815.21+8.29+1000</f>
        <v>22823.5</v>
      </c>
      <c r="J947" s="183">
        <f>21815.21+8.29+5.79+1000</f>
        <v>22829.29</v>
      </c>
      <c r="K947" s="183">
        <v>26993.98</v>
      </c>
      <c r="L947" s="183">
        <v>22823.5</v>
      </c>
      <c r="M947" s="183">
        <v>22829.29</v>
      </c>
      <c r="N947" s="183"/>
      <c r="O947" s="183">
        <v>20467.669999999998</v>
      </c>
      <c r="P947" s="183">
        <v>22823.5</v>
      </c>
      <c r="Q947" s="183">
        <v>22829.29</v>
      </c>
      <c r="R947" s="472">
        <f t="shared" si="376"/>
        <v>6526.3100000000013</v>
      </c>
      <c r="S947" s="472">
        <f t="shared" si="377"/>
        <v>0</v>
      </c>
      <c r="T947" s="472">
        <f t="shared" si="378"/>
        <v>0</v>
      </c>
      <c r="U947" s="182" t="s">
        <v>145</v>
      </c>
      <c r="V947" s="36" t="s">
        <v>5</v>
      </c>
      <c r="W947" s="37" t="s">
        <v>7</v>
      </c>
      <c r="X947" s="37" t="s">
        <v>85</v>
      </c>
      <c r="Y947" s="37" t="s">
        <v>556</v>
      </c>
      <c r="Z947" s="37" t="s">
        <v>153</v>
      </c>
      <c r="AA947" s="12" t="b">
        <f t="shared" si="362"/>
        <v>1</v>
      </c>
      <c r="AB947" s="12" t="b">
        <f t="shared" si="363"/>
        <v>1</v>
      </c>
      <c r="AC947" s="12" t="b">
        <f t="shared" si="364"/>
        <v>1</v>
      </c>
      <c r="AD947" s="12" t="b">
        <f t="shared" si="365"/>
        <v>1</v>
      </c>
      <c r="AE947" s="12" t="b">
        <f t="shared" si="366"/>
        <v>1</v>
      </c>
      <c r="AF947" s="12" t="b">
        <f t="shared" si="367"/>
        <v>1</v>
      </c>
    </row>
    <row r="948" spans="1:32" s="12" customFormat="1" ht="15.75" customHeight="1">
      <c r="A948" s="285"/>
      <c r="B948" s="182" t="s">
        <v>756</v>
      </c>
      <c r="C948" s="36" t="s">
        <v>5</v>
      </c>
      <c r="D948" s="37" t="s">
        <v>7</v>
      </c>
      <c r="E948" s="37" t="s">
        <v>85</v>
      </c>
      <c r="F948" s="37" t="s">
        <v>772</v>
      </c>
      <c r="G948" s="37" t="s">
        <v>90</v>
      </c>
      <c r="H948" s="183">
        <f>H949</f>
        <v>941.72</v>
      </c>
      <c r="I948" s="183">
        <f>I949</f>
        <v>941.72</v>
      </c>
      <c r="J948" s="183">
        <f>J949</f>
        <v>941.72</v>
      </c>
      <c r="K948" s="183">
        <v>941.72</v>
      </c>
      <c r="L948" s="183">
        <v>941.72</v>
      </c>
      <c r="M948" s="183">
        <v>941.72</v>
      </c>
      <c r="N948" s="183"/>
      <c r="O948" s="183">
        <v>941.72</v>
      </c>
      <c r="P948" s="183">
        <v>941.72</v>
      </c>
      <c r="Q948" s="183">
        <v>941.72</v>
      </c>
      <c r="R948" s="472">
        <f t="shared" si="376"/>
        <v>0</v>
      </c>
      <c r="S948" s="472">
        <f t="shared" si="377"/>
        <v>0</v>
      </c>
      <c r="T948" s="472">
        <f t="shared" si="378"/>
        <v>0</v>
      </c>
      <c r="U948" s="182" t="s">
        <v>756</v>
      </c>
      <c r="V948" s="36" t="s">
        <v>5</v>
      </c>
      <c r="W948" s="37" t="s">
        <v>7</v>
      </c>
      <c r="X948" s="37" t="s">
        <v>85</v>
      </c>
      <c r="Y948" s="37" t="s">
        <v>772</v>
      </c>
      <c r="Z948" s="37" t="s">
        <v>90</v>
      </c>
      <c r="AA948" s="12" t="b">
        <f t="shared" ref="AA948:AA997" si="382">B948=U948</f>
        <v>1</v>
      </c>
      <c r="AB948" s="12" t="b">
        <f t="shared" ref="AB948:AB997" si="383">C948=V948</f>
        <v>1</v>
      </c>
      <c r="AC948" s="12" t="b">
        <f t="shared" ref="AC948:AC997" si="384">D948=W948</f>
        <v>1</v>
      </c>
      <c r="AD948" s="12" t="b">
        <f t="shared" ref="AD948:AD997" si="385">E948=X948</f>
        <v>1</v>
      </c>
      <c r="AE948" s="12" t="b">
        <f t="shared" ref="AE948:AE997" si="386">F948=Y948</f>
        <v>1</v>
      </c>
      <c r="AF948" s="12" t="b">
        <f t="shared" ref="AF948:AF997" si="387">G948=Z948</f>
        <v>1</v>
      </c>
    </row>
    <row r="949" spans="1:32" s="12" customFormat="1" ht="15.75" customHeight="1">
      <c r="A949" s="285"/>
      <c r="B949" s="182" t="s">
        <v>145</v>
      </c>
      <c r="C949" s="36" t="s">
        <v>5</v>
      </c>
      <c r="D949" s="37" t="s">
        <v>7</v>
      </c>
      <c r="E949" s="37" t="s">
        <v>85</v>
      </c>
      <c r="F949" s="37" t="s">
        <v>772</v>
      </c>
      <c r="G949" s="37" t="s">
        <v>153</v>
      </c>
      <c r="H949" s="183">
        <v>941.72</v>
      </c>
      <c r="I949" s="183">
        <v>941.72</v>
      </c>
      <c r="J949" s="183">
        <v>941.72</v>
      </c>
      <c r="K949" s="183">
        <v>941.72</v>
      </c>
      <c r="L949" s="183">
        <v>941.72</v>
      </c>
      <c r="M949" s="183">
        <v>941.72</v>
      </c>
      <c r="N949" s="183"/>
      <c r="O949" s="183">
        <v>941.72</v>
      </c>
      <c r="P949" s="183">
        <v>941.72</v>
      </c>
      <c r="Q949" s="183">
        <v>941.72</v>
      </c>
      <c r="R949" s="472">
        <f t="shared" si="376"/>
        <v>0</v>
      </c>
      <c r="S949" s="472">
        <f t="shared" si="377"/>
        <v>0</v>
      </c>
      <c r="T949" s="472">
        <f t="shared" si="378"/>
        <v>0</v>
      </c>
      <c r="U949" s="182" t="s">
        <v>145</v>
      </c>
      <c r="V949" s="36" t="s">
        <v>5</v>
      </c>
      <c r="W949" s="37" t="s">
        <v>7</v>
      </c>
      <c r="X949" s="37" t="s">
        <v>85</v>
      </c>
      <c r="Y949" s="37" t="s">
        <v>772</v>
      </c>
      <c r="Z949" s="37" t="s">
        <v>153</v>
      </c>
      <c r="AA949" s="12" t="b">
        <f t="shared" si="382"/>
        <v>1</v>
      </c>
      <c r="AB949" s="12" t="b">
        <f t="shared" si="383"/>
        <v>1</v>
      </c>
      <c r="AC949" s="12" t="b">
        <f t="shared" si="384"/>
        <v>1</v>
      </c>
      <c r="AD949" s="12" t="b">
        <f t="shared" si="385"/>
        <v>1</v>
      </c>
      <c r="AE949" s="12" t="b">
        <f t="shared" si="386"/>
        <v>1</v>
      </c>
      <c r="AF949" s="12" t="b">
        <f t="shared" si="387"/>
        <v>1</v>
      </c>
    </row>
    <row r="950" spans="1:32" s="12" customFormat="1" ht="15.75" customHeight="1">
      <c r="A950" s="285"/>
      <c r="B950" s="182" t="s">
        <v>911</v>
      </c>
      <c r="C950" s="36" t="s">
        <v>5</v>
      </c>
      <c r="D950" s="37" t="s">
        <v>7</v>
      </c>
      <c r="E950" s="37" t="s">
        <v>85</v>
      </c>
      <c r="F950" s="37" t="s">
        <v>912</v>
      </c>
      <c r="G950" s="37" t="s">
        <v>90</v>
      </c>
      <c r="H950" s="183">
        <f>H951</f>
        <v>9476.08</v>
      </c>
      <c r="I950" s="183">
        <f>I951</f>
        <v>9476.08</v>
      </c>
      <c r="J950" s="183">
        <f>J951</f>
        <v>9476.08</v>
      </c>
      <c r="K950" s="183">
        <v>9476.08</v>
      </c>
      <c r="L950" s="183">
        <v>9476.08</v>
      </c>
      <c r="M950" s="183">
        <v>9476.08</v>
      </c>
      <c r="N950" s="183"/>
      <c r="O950" s="183">
        <v>9476.08</v>
      </c>
      <c r="P950" s="183">
        <v>9476.08</v>
      </c>
      <c r="Q950" s="183">
        <v>9476.08</v>
      </c>
      <c r="R950" s="472">
        <f t="shared" si="376"/>
        <v>0</v>
      </c>
      <c r="S950" s="472">
        <f t="shared" si="377"/>
        <v>0</v>
      </c>
      <c r="T950" s="472">
        <f t="shared" si="378"/>
        <v>0</v>
      </c>
      <c r="U950" s="182" t="s">
        <v>911</v>
      </c>
      <c r="V950" s="36" t="s">
        <v>5</v>
      </c>
      <c r="W950" s="37" t="s">
        <v>7</v>
      </c>
      <c r="X950" s="37" t="s">
        <v>85</v>
      </c>
      <c r="Y950" s="37" t="s">
        <v>912</v>
      </c>
      <c r="Z950" s="37" t="s">
        <v>90</v>
      </c>
      <c r="AA950" s="12" t="b">
        <f t="shared" si="382"/>
        <v>1</v>
      </c>
      <c r="AB950" s="12" t="b">
        <f t="shared" si="383"/>
        <v>1</v>
      </c>
      <c r="AC950" s="12" t="b">
        <f t="shared" si="384"/>
        <v>1</v>
      </c>
      <c r="AD950" s="12" t="b">
        <f t="shared" si="385"/>
        <v>1</v>
      </c>
      <c r="AE950" s="12" t="b">
        <f t="shared" si="386"/>
        <v>1</v>
      </c>
      <c r="AF950" s="12" t="b">
        <f t="shared" si="387"/>
        <v>1</v>
      </c>
    </row>
    <row r="951" spans="1:32" s="12" customFormat="1" ht="15.75" customHeight="1">
      <c r="A951" s="285"/>
      <c r="B951" s="182" t="s">
        <v>145</v>
      </c>
      <c r="C951" s="36" t="s">
        <v>5</v>
      </c>
      <c r="D951" s="37" t="s">
        <v>7</v>
      </c>
      <c r="E951" s="37" t="s">
        <v>85</v>
      </c>
      <c r="F951" s="37" t="s">
        <v>912</v>
      </c>
      <c r="G951" s="37" t="s">
        <v>153</v>
      </c>
      <c r="H951" s="183">
        <v>9476.08</v>
      </c>
      <c r="I951" s="183">
        <v>9476.08</v>
      </c>
      <c r="J951" s="183">
        <v>9476.08</v>
      </c>
      <c r="K951" s="183">
        <v>9476.08</v>
      </c>
      <c r="L951" s="183">
        <v>9476.08</v>
      </c>
      <c r="M951" s="183">
        <v>9476.08</v>
      </c>
      <c r="N951" s="183"/>
      <c r="O951" s="183">
        <v>9476.08</v>
      </c>
      <c r="P951" s="183">
        <v>9476.08</v>
      </c>
      <c r="Q951" s="183">
        <v>9476.08</v>
      </c>
      <c r="R951" s="472">
        <f t="shared" si="376"/>
        <v>0</v>
      </c>
      <c r="S951" s="472">
        <f t="shared" si="377"/>
        <v>0</v>
      </c>
      <c r="T951" s="472">
        <f t="shared" si="378"/>
        <v>0</v>
      </c>
      <c r="U951" s="182" t="s">
        <v>145</v>
      </c>
      <c r="V951" s="36" t="s">
        <v>5</v>
      </c>
      <c r="W951" s="37" t="s">
        <v>7</v>
      </c>
      <c r="X951" s="37" t="s">
        <v>85</v>
      </c>
      <c r="Y951" s="37" t="s">
        <v>912</v>
      </c>
      <c r="Z951" s="37" t="s">
        <v>153</v>
      </c>
      <c r="AA951" s="12" t="b">
        <f t="shared" si="382"/>
        <v>1</v>
      </c>
      <c r="AB951" s="12" t="b">
        <f t="shared" si="383"/>
        <v>1</v>
      </c>
      <c r="AC951" s="12" t="b">
        <f t="shared" si="384"/>
        <v>1</v>
      </c>
      <c r="AD951" s="12" t="b">
        <f t="shared" si="385"/>
        <v>1</v>
      </c>
      <c r="AE951" s="12" t="b">
        <f t="shared" si="386"/>
        <v>1</v>
      </c>
      <c r="AF951" s="12" t="b">
        <f t="shared" si="387"/>
        <v>1</v>
      </c>
    </row>
    <row r="952" spans="1:32" s="12" customFormat="1" ht="15.75" customHeight="1">
      <c r="A952" s="285" t="s">
        <v>899</v>
      </c>
      <c r="B952" s="182" t="s">
        <v>1163</v>
      </c>
      <c r="C952" s="36" t="s">
        <v>5</v>
      </c>
      <c r="D952" s="37" t="s">
        <v>7</v>
      </c>
      <c r="E952" s="37" t="s">
        <v>85</v>
      </c>
      <c r="F952" s="517" t="s">
        <v>1249</v>
      </c>
      <c r="G952" s="37" t="s">
        <v>90</v>
      </c>
      <c r="H952" s="183">
        <f>H953</f>
        <v>1500</v>
      </c>
      <c r="I952" s="183"/>
      <c r="J952" s="183"/>
      <c r="K952" s="183">
        <v>1500</v>
      </c>
      <c r="L952" s="183"/>
      <c r="M952" s="183"/>
      <c r="N952" s="183"/>
      <c r="O952" s="183">
        <v>1500</v>
      </c>
      <c r="P952" s="183"/>
      <c r="Q952" s="183"/>
      <c r="R952" s="472"/>
      <c r="S952" s="472"/>
      <c r="T952" s="472"/>
      <c r="U952" s="182" t="s">
        <v>1163</v>
      </c>
      <c r="V952" s="36" t="s">
        <v>5</v>
      </c>
      <c r="W952" s="37" t="s">
        <v>7</v>
      </c>
      <c r="X952" s="37" t="s">
        <v>85</v>
      </c>
      <c r="Y952" s="37" t="s">
        <v>1044</v>
      </c>
      <c r="Z952" s="37" t="s">
        <v>90</v>
      </c>
      <c r="AA952" s="12" t="b">
        <f t="shared" si="382"/>
        <v>1</v>
      </c>
      <c r="AB952" s="12" t="b">
        <f t="shared" si="383"/>
        <v>1</v>
      </c>
      <c r="AC952" s="12" t="b">
        <f t="shared" si="384"/>
        <v>1</v>
      </c>
      <c r="AD952" s="12" t="b">
        <f t="shared" si="385"/>
        <v>1</v>
      </c>
      <c r="AE952" s="12" t="b">
        <f t="shared" si="386"/>
        <v>0</v>
      </c>
      <c r="AF952" s="12" t="b">
        <f t="shared" si="387"/>
        <v>1</v>
      </c>
    </row>
    <row r="953" spans="1:32" s="12" customFormat="1" ht="15.75" customHeight="1">
      <c r="A953" s="285"/>
      <c r="B953" s="182" t="s">
        <v>145</v>
      </c>
      <c r="C953" s="36" t="s">
        <v>5</v>
      </c>
      <c r="D953" s="37" t="s">
        <v>7</v>
      </c>
      <c r="E953" s="37" t="s">
        <v>85</v>
      </c>
      <c r="F953" s="517" t="s">
        <v>1249</v>
      </c>
      <c r="G953" s="37" t="s">
        <v>153</v>
      </c>
      <c r="H953" s="183">
        <v>1500</v>
      </c>
      <c r="I953" s="183"/>
      <c r="J953" s="183"/>
      <c r="K953" s="183">
        <v>1500</v>
      </c>
      <c r="L953" s="183"/>
      <c r="M953" s="183"/>
      <c r="N953" s="183"/>
      <c r="O953" s="183">
        <v>1500</v>
      </c>
      <c r="P953" s="183"/>
      <c r="Q953" s="183"/>
      <c r="R953" s="472"/>
      <c r="S953" s="472"/>
      <c r="T953" s="472"/>
      <c r="U953" s="182" t="s">
        <v>145</v>
      </c>
      <c r="V953" s="36" t="s">
        <v>5</v>
      </c>
      <c r="W953" s="37" t="s">
        <v>7</v>
      </c>
      <c r="X953" s="37" t="s">
        <v>85</v>
      </c>
      <c r="Y953" s="37" t="s">
        <v>1044</v>
      </c>
      <c r="Z953" s="37" t="s">
        <v>153</v>
      </c>
      <c r="AA953" s="12" t="b">
        <f t="shared" si="382"/>
        <v>1</v>
      </c>
      <c r="AB953" s="12" t="b">
        <f t="shared" si="383"/>
        <v>1</v>
      </c>
      <c r="AC953" s="12" t="b">
        <f t="shared" si="384"/>
        <v>1</v>
      </c>
      <c r="AD953" s="12" t="b">
        <f t="shared" si="385"/>
        <v>1</v>
      </c>
      <c r="AE953" s="12" t="b">
        <f t="shared" si="386"/>
        <v>0</v>
      </c>
      <c r="AF953" s="12" t="b">
        <f t="shared" si="387"/>
        <v>1</v>
      </c>
    </row>
    <row r="954" spans="1:32" s="12" customFormat="1" ht="15.75" customHeight="1">
      <c r="A954" s="285" t="s">
        <v>899</v>
      </c>
      <c r="B954" s="182" t="s">
        <v>1161</v>
      </c>
      <c r="C954" s="36" t="s">
        <v>5</v>
      </c>
      <c r="D954" s="37" t="s">
        <v>7</v>
      </c>
      <c r="E954" s="37" t="s">
        <v>85</v>
      </c>
      <c r="F954" s="37" t="s">
        <v>1158</v>
      </c>
      <c r="G954" s="37" t="s">
        <v>90</v>
      </c>
      <c r="H954" s="183">
        <f>H955</f>
        <v>1500</v>
      </c>
      <c r="I954" s="183"/>
      <c r="J954" s="183"/>
      <c r="K954" s="183">
        <v>1500</v>
      </c>
      <c r="L954" s="183"/>
      <c r="M954" s="183"/>
      <c r="N954" s="183"/>
      <c r="O954" s="183">
        <v>1500</v>
      </c>
      <c r="P954" s="183"/>
      <c r="Q954" s="183"/>
      <c r="R954" s="472"/>
      <c r="S954" s="472"/>
      <c r="T954" s="472"/>
      <c r="U954" s="182" t="s">
        <v>1161</v>
      </c>
      <c r="V954" s="36" t="s">
        <v>5</v>
      </c>
      <c r="W954" s="37" t="s">
        <v>7</v>
      </c>
      <c r="X954" s="37" t="s">
        <v>85</v>
      </c>
      <c r="Y954" s="37" t="s">
        <v>1158</v>
      </c>
      <c r="Z954" s="37" t="s">
        <v>90</v>
      </c>
      <c r="AA954" s="12" t="b">
        <f t="shared" si="382"/>
        <v>1</v>
      </c>
      <c r="AB954" s="12" t="b">
        <f t="shared" si="383"/>
        <v>1</v>
      </c>
      <c r="AC954" s="12" t="b">
        <f t="shared" si="384"/>
        <v>1</v>
      </c>
      <c r="AD954" s="12" t="b">
        <f t="shared" si="385"/>
        <v>1</v>
      </c>
      <c r="AE954" s="12" t="b">
        <f t="shared" si="386"/>
        <v>1</v>
      </c>
      <c r="AF954" s="12" t="b">
        <f t="shared" si="387"/>
        <v>1</v>
      </c>
    </row>
    <row r="955" spans="1:32" s="12" customFormat="1" ht="15.75" customHeight="1">
      <c r="A955" s="285"/>
      <c r="B955" s="182" t="s">
        <v>145</v>
      </c>
      <c r="C955" s="36" t="s">
        <v>5</v>
      </c>
      <c r="D955" s="37" t="s">
        <v>7</v>
      </c>
      <c r="E955" s="37" t="s">
        <v>85</v>
      </c>
      <c r="F955" s="37" t="s">
        <v>1158</v>
      </c>
      <c r="G955" s="37" t="s">
        <v>153</v>
      </c>
      <c r="H955" s="183">
        <v>1500</v>
      </c>
      <c r="I955" s="183"/>
      <c r="J955" s="183"/>
      <c r="K955" s="183">
        <v>1500</v>
      </c>
      <c r="L955" s="183"/>
      <c r="M955" s="183"/>
      <c r="N955" s="183"/>
      <c r="O955" s="183">
        <v>1500</v>
      </c>
      <c r="P955" s="183"/>
      <c r="Q955" s="183"/>
      <c r="R955" s="472"/>
      <c r="S955" s="472"/>
      <c r="T955" s="472"/>
      <c r="U955" s="182" t="s">
        <v>145</v>
      </c>
      <c r="V955" s="36" t="s">
        <v>5</v>
      </c>
      <c r="W955" s="37" t="s">
        <v>7</v>
      </c>
      <c r="X955" s="37" t="s">
        <v>85</v>
      </c>
      <c r="Y955" s="37" t="s">
        <v>1158</v>
      </c>
      <c r="Z955" s="37" t="s">
        <v>153</v>
      </c>
      <c r="AA955" s="12" t="b">
        <f t="shared" si="382"/>
        <v>1</v>
      </c>
      <c r="AB955" s="12" t="b">
        <f t="shared" si="383"/>
        <v>1</v>
      </c>
      <c r="AC955" s="12" t="b">
        <f t="shared" si="384"/>
        <v>1</v>
      </c>
      <c r="AD955" s="12" t="b">
        <f t="shared" si="385"/>
        <v>1</v>
      </c>
      <c r="AE955" s="12" t="b">
        <f t="shared" si="386"/>
        <v>1</v>
      </c>
      <c r="AF955" s="12" t="b">
        <f t="shared" si="387"/>
        <v>1</v>
      </c>
    </row>
    <row r="956" spans="1:32" s="12" customFormat="1" ht="15.75" customHeight="1">
      <c r="A956" s="285"/>
      <c r="B956" s="182" t="s">
        <v>1164</v>
      </c>
      <c r="C956" s="36" t="s">
        <v>5</v>
      </c>
      <c r="D956" s="37" t="s">
        <v>7</v>
      </c>
      <c r="E956" s="37" t="s">
        <v>85</v>
      </c>
      <c r="F956" s="517" t="s">
        <v>1250</v>
      </c>
      <c r="G956" s="37" t="s">
        <v>90</v>
      </c>
      <c r="H956" s="183">
        <f>H957</f>
        <v>10496.66</v>
      </c>
      <c r="I956" s="58"/>
      <c r="J956" s="58"/>
      <c r="K956" s="58">
        <v>10496.66</v>
      </c>
      <c r="L956" s="58"/>
      <c r="M956" s="58"/>
      <c r="N956" s="58"/>
      <c r="O956" s="183">
        <v>10496.66</v>
      </c>
      <c r="P956" s="183"/>
      <c r="Q956" s="183"/>
      <c r="R956" s="472"/>
      <c r="S956" s="472"/>
      <c r="T956" s="472"/>
      <c r="U956" s="182" t="s">
        <v>1164</v>
      </c>
      <c r="V956" s="36" t="s">
        <v>5</v>
      </c>
      <c r="W956" s="37" t="s">
        <v>7</v>
      </c>
      <c r="X956" s="37" t="s">
        <v>85</v>
      </c>
      <c r="Y956" s="37" t="s">
        <v>1073</v>
      </c>
      <c r="Z956" s="37" t="s">
        <v>90</v>
      </c>
      <c r="AA956" s="12" t="b">
        <f t="shared" si="382"/>
        <v>1</v>
      </c>
      <c r="AB956" s="12" t="b">
        <f t="shared" si="383"/>
        <v>1</v>
      </c>
      <c r="AC956" s="12" t="b">
        <f t="shared" si="384"/>
        <v>1</v>
      </c>
      <c r="AD956" s="12" t="b">
        <f t="shared" si="385"/>
        <v>1</v>
      </c>
      <c r="AE956" s="12" t="b">
        <f t="shared" si="386"/>
        <v>0</v>
      </c>
      <c r="AF956" s="12" t="b">
        <f t="shared" si="387"/>
        <v>1</v>
      </c>
    </row>
    <row r="957" spans="1:32" s="12" customFormat="1" ht="15.75" customHeight="1">
      <c r="A957" s="285"/>
      <c r="B957" s="182" t="s">
        <v>145</v>
      </c>
      <c r="C957" s="36" t="s">
        <v>5</v>
      </c>
      <c r="D957" s="37" t="s">
        <v>7</v>
      </c>
      <c r="E957" s="37" t="s">
        <v>85</v>
      </c>
      <c r="F957" s="517" t="s">
        <v>1250</v>
      </c>
      <c r="G957" s="37" t="s">
        <v>153</v>
      </c>
      <c r="H957" s="183">
        <v>10496.66</v>
      </c>
      <c r="I957" s="183"/>
      <c r="J957" s="183"/>
      <c r="K957" s="183">
        <v>10496.66</v>
      </c>
      <c r="L957" s="183"/>
      <c r="M957" s="183"/>
      <c r="N957" s="183"/>
      <c r="O957" s="183">
        <v>10496.66</v>
      </c>
      <c r="P957" s="183"/>
      <c r="Q957" s="183"/>
      <c r="R957" s="472"/>
      <c r="S957" s="472"/>
      <c r="T957" s="472"/>
      <c r="U957" s="182" t="s">
        <v>145</v>
      </c>
      <c r="V957" s="36" t="s">
        <v>5</v>
      </c>
      <c r="W957" s="37" t="s">
        <v>7</v>
      </c>
      <c r="X957" s="37" t="s">
        <v>85</v>
      </c>
      <c r="Y957" s="37" t="s">
        <v>1073</v>
      </c>
      <c r="Z957" s="37" t="s">
        <v>153</v>
      </c>
      <c r="AA957" s="12" t="b">
        <f t="shared" si="382"/>
        <v>1</v>
      </c>
      <c r="AB957" s="12" t="b">
        <f t="shared" si="383"/>
        <v>1</v>
      </c>
      <c r="AC957" s="12" t="b">
        <f t="shared" si="384"/>
        <v>1</v>
      </c>
      <c r="AD957" s="12" t="b">
        <f t="shared" si="385"/>
        <v>1</v>
      </c>
      <c r="AE957" s="12" t="b">
        <f t="shared" si="386"/>
        <v>0</v>
      </c>
      <c r="AF957" s="12" t="b">
        <f t="shared" si="387"/>
        <v>1</v>
      </c>
    </row>
    <row r="958" spans="1:32" s="12" customFormat="1" ht="15.75" customHeight="1">
      <c r="A958" s="285"/>
      <c r="B958" s="182" t="s">
        <v>1162</v>
      </c>
      <c r="C958" s="36" t="s">
        <v>5</v>
      </c>
      <c r="D958" s="37" t="s">
        <v>7</v>
      </c>
      <c r="E958" s="37" t="s">
        <v>85</v>
      </c>
      <c r="F958" s="37" t="s">
        <v>1157</v>
      </c>
      <c r="G958" s="37" t="s">
        <v>90</v>
      </c>
      <c r="H958" s="183">
        <f>H959</f>
        <v>10432.209999999999</v>
      </c>
      <c r="I958" s="58"/>
      <c r="J958" s="58"/>
      <c r="K958" s="58">
        <v>10432.209999999999</v>
      </c>
      <c r="L958" s="58"/>
      <c r="M958" s="58"/>
      <c r="N958" s="58"/>
      <c r="O958" s="183">
        <v>10432.209999999999</v>
      </c>
      <c r="P958" s="183"/>
      <c r="Q958" s="183"/>
      <c r="R958" s="472"/>
      <c r="S958" s="472"/>
      <c r="T958" s="472"/>
      <c r="U958" s="182" t="s">
        <v>1162</v>
      </c>
      <c r="V958" s="36" t="s">
        <v>5</v>
      </c>
      <c r="W958" s="37" t="s">
        <v>7</v>
      </c>
      <c r="X958" s="37" t="s">
        <v>85</v>
      </c>
      <c r="Y958" s="37" t="s">
        <v>1157</v>
      </c>
      <c r="Z958" s="37" t="s">
        <v>90</v>
      </c>
      <c r="AA958" s="12" t="b">
        <f t="shared" si="382"/>
        <v>1</v>
      </c>
      <c r="AB958" s="12" t="b">
        <f t="shared" si="383"/>
        <v>1</v>
      </c>
      <c r="AC958" s="12" t="b">
        <f t="shared" si="384"/>
        <v>1</v>
      </c>
      <c r="AD958" s="12" t="b">
        <f t="shared" si="385"/>
        <v>1</v>
      </c>
      <c r="AE958" s="12" t="b">
        <f t="shared" si="386"/>
        <v>1</v>
      </c>
      <c r="AF958" s="12" t="b">
        <f t="shared" si="387"/>
        <v>1</v>
      </c>
    </row>
    <row r="959" spans="1:32" s="12" customFormat="1" ht="15.75" customHeight="1">
      <c r="A959" s="285"/>
      <c r="B959" s="182" t="s">
        <v>145</v>
      </c>
      <c r="C959" s="36" t="s">
        <v>5</v>
      </c>
      <c r="D959" s="37" t="s">
        <v>7</v>
      </c>
      <c r="E959" s="37" t="s">
        <v>85</v>
      </c>
      <c r="F959" s="37" t="s">
        <v>1157</v>
      </c>
      <c r="G959" s="37" t="s">
        <v>153</v>
      </c>
      <c r="H959" s="183">
        <v>10432.209999999999</v>
      </c>
      <c r="I959" s="183"/>
      <c r="J959" s="183"/>
      <c r="K959" s="183">
        <v>10432.209999999999</v>
      </c>
      <c r="L959" s="183"/>
      <c r="M959" s="183"/>
      <c r="N959" s="183"/>
      <c r="O959" s="183">
        <v>10432.209999999999</v>
      </c>
      <c r="P959" s="183"/>
      <c r="Q959" s="183"/>
      <c r="R959" s="472"/>
      <c r="S959" s="472"/>
      <c r="T959" s="472"/>
      <c r="U959" s="182" t="s">
        <v>145</v>
      </c>
      <c r="V959" s="36" t="s">
        <v>5</v>
      </c>
      <c r="W959" s="37" t="s">
        <v>7</v>
      </c>
      <c r="X959" s="37" t="s">
        <v>85</v>
      </c>
      <c r="Y959" s="37" t="s">
        <v>1157</v>
      </c>
      <c r="Z959" s="37" t="s">
        <v>153</v>
      </c>
      <c r="AA959" s="12" t="b">
        <f t="shared" si="382"/>
        <v>1</v>
      </c>
      <c r="AB959" s="12" t="b">
        <f t="shared" si="383"/>
        <v>1</v>
      </c>
      <c r="AC959" s="12" t="b">
        <f t="shared" si="384"/>
        <v>1</v>
      </c>
      <c r="AD959" s="12" t="b">
        <f t="shared" si="385"/>
        <v>1</v>
      </c>
      <c r="AE959" s="12" t="b">
        <f t="shared" si="386"/>
        <v>1</v>
      </c>
      <c r="AF959" s="12" t="b">
        <f t="shared" si="387"/>
        <v>1</v>
      </c>
    </row>
    <row r="960" spans="1:32" s="12" customFormat="1" ht="15.75" customHeight="1">
      <c r="A960" s="285"/>
      <c r="B960" s="28" t="s">
        <v>438</v>
      </c>
      <c r="C960" s="29" t="s">
        <v>5</v>
      </c>
      <c r="D960" s="30" t="s">
        <v>82</v>
      </c>
      <c r="E960" s="30" t="s">
        <v>83</v>
      </c>
      <c r="F960" s="30" t="s">
        <v>223</v>
      </c>
      <c r="G960" s="30" t="s">
        <v>90</v>
      </c>
      <c r="H960" s="31">
        <f>H961</f>
        <v>1711</v>
      </c>
      <c r="I960" s="31">
        <f t="shared" ref="H960:J963" si="388">I961</f>
        <v>1711</v>
      </c>
      <c r="J960" s="31">
        <f t="shared" si="388"/>
        <v>1711</v>
      </c>
      <c r="K960" s="31">
        <v>1711</v>
      </c>
      <c r="L960" s="31">
        <v>1711</v>
      </c>
      <c r="M960" s="31">
        <v>1711</v>
      </c>
      <c r="N960" s="31"/>
      <c r="O960" s="31">
        <v>1711</v>
      </c>
      <c r="P960" s="31">
        <v>1711</v>
      </c>
      <c r="Q960" s="31">
        <v>1711</v>
      </c>
      <c r="R960" s="472">
        <f t="shared" ref="R960:R991" si="389">H960-O960</f>
        <v>0</v>
      </c>
      <c r="S960" s="472">
        <f t="shared" ref="S960:S991" si="390">I960-P960</f>
        <v>0</v>
      </c>
      <c r="T960" s="472">
        <f t="shared" ref="T960:T991" si="391">J960-Q960</f>
        <v>0</v>
      </c>
      <c r="U960" s="28" t="s">
        <v>438</v>
      </c>
      <c r="V960" s="29" t="s">
        <v>5</v>
      </c>
      <c r="W960" s="30" t="s">
        <v>82</v>
      </c>
      <c r="X960" s="30" t="s">
        <v>83</v>
      </c>
      <c r="Y960" s="30" t="s">
        <v>223</v>
      </c>
      <c r="Z960" s="30" t="s">
        <v>90</v>
      </c>
      <c r="AA960" s="12" t="b">
        <f t="shared" si="382"/>
        <v>1</v>
      </c>
      <c r="AB960" s="12" t="b">
        <f t="shared" si="383"/>
        <v>1</v>
      </c>
      <c r="AC960" s="12" t="b">
        <f t="shared" si="384"/>
        <v>1</v>
      </c>
      <c r="AD960" s="12" t="b">
        <f t="shared" si="385"/>
        <v>1</v>
      </c>
      <c r="AE960" s="12" t="b">
        <f t="shared" si="386"/>
        <v>1</v>
      </c>
      <c r="AF960" s="12" t="b">
        <f t="shared" si="387"/>
        <v>1</v>
      </c>
    </row>
    <row r="961" spans="1:32" s="12" customFormat="1" ht="15.75" customHeight="1">
      <c r="A961" s="285"/>
      <c r="B961" s="32" t="s">
        <v>35</v>
      </c>
      <c r="C961" s="33" t="s">
        <v>5</v>
      </c>
      <c r="D961" s="34" t="s">
        <v>82</v>
      </c>
      <c r="E961" s="34" t="s">
        <v>98</v>
      </c>
      <c r="F961" s="34" t="s">
        <v>223</v>
      </c>
      <c r="G961" s="34" t="s">
        <v>90</v>
      </c>
      <c r="H961" s="35">
        <f t="shared" si="388"/>
        <v>1711</v>
      </c>
      <c r="I961" s="35">
        <f t="shared" si="388"/>
        <v>1711</v>
      </c>
      <c r="J961" s="35">
        <f t="shared" si="388"/>
        <v>1711</v>
      </c>
      <c r="K961" s="35">
        <v>1711</v>
      </c>
      <c r="L961" s="35">
        <v>1711</v>
      </c>
      <c r="M961" s="35">
        <v>1711</v>
      </c>
      <c r="N961" s="35"/>
      <c r="O961" s="35">
        <v>1711</v>
      </c>
      <c r="P961" s="35">
        <v>1711</v>
      </c>
      <c r="Q961" s="35">
        <v>1711</v>
      </c>
      <c r="R961" s="472">
        <f t="shared" si="389"/>
        <v>0</v>
      </c>
      <c r="S961" s="472">
        <f t="shared" si="390"/>
        <v>0</v>
      </c>
      <c r="T961" s="472">
        <f t="shared" si="391"/>
        <v>0</v>
      </c>
      <c r="U961" s="32" t="s">
        <v>35</v>
      </c>
      <c r="V961" s="33" t="s">
        <v>5</v>
      </c>
      <c r="W961" s="34" t="s">
        <v>82</v>
      </c>
      <c r="X961" s="34" t="s">
        <v>98</v>
      </c>
      <c r="Y961" s="34" t="s">
        <v>223</v>
      </c>
      <c r="Z961" s="34" t="s">
        <v>90</v>
      </c>
      <c r="AA961" s="12" t="b">
        <f t="shared" si="382"/>
        <v>1</v>
      </c>
      <c r="AB961" s="12" t="b">
        <f t="shared" si="383"/>
        <v>1</v>
      </c>
      <c r="AC961" s="12" t="b">
        <f t="shared" si="384"/>
        <v>1</v>
      </c>
      <c r="AD961" s="12" t="b">
        <f t="shared" si="385"/>
        <v>1</v>
      </c>
      <c r="AE961" s="12" t="b">
        <f t="shared" si="386"/>
        <v>1</v>
      </c>
      <c r="AF961" s="12" t="b">
        <f t="shared" si="387"/>
        <v>1</v>
      </c>
    </row>
    <row r="962" spans="1:32" s="12" customFormat="1" ht="15.75" customHeight="1">
      <c r="A962" s="285"/>
      <c r="B962" s="182" t="s">
        <v>656</v>
      </c>
      <c r="C962" s="56" t="s">
        <v>5</v>
      </c>
      <c r="D962" s="57" t="s">
        <v>82</v>
      </c>
      <c r="E962" s="57" t="s">
        <v>98</v>
      </c>
      <c r="F962" s="57" t="s">
        <v>279</v>
      </c>
      <c r="G962" s="57" t="s">
        <v>90</v>
      </c>
      <c r="H962" s="58">
        <f t="shared" si="388"/>
        <v>1711</v>
      </c>
      <c r="I962" s="58">
        <f t="shared" si="388"/>
        <v>1711</v>
      </c>
      <c r="J962" s="58">
        <f t="shared" si="388"/>
        <v>1711</v>
      </c>
      <c r="K962" s="58">
        <v>1711</v>
      </c>
      <c r="L962" s="58">
        <v>1711</v>
      </c>
      <c r="M962" s="58">
        <v>1711</v>
      </c>
      <c r="N962" s="58"/>
      <c r="O962" s="58">
        <v>1711</v>
      </c>
      <c r="P962" s="58">
        <v>1711</v>
      </c>
      <c r="Q962" s="58">
        <v>1711</v>
      </c>
      <c r="R962" s="472">
        <f t="shared" si="389"/>
        <v>0</v>
      </c>
      <c r="S962" s="472">
        <f t="shared" si="390"/>
        <v>0</v>
      </c>
      <c r="T962" s="472">
        <f t="shared" si="391"/>
        <v>0</v>
      </c>
      <c r="U962" s="182" t="s">
        <v>656</v>
      </c>
      <c r="V962" s="56" t="s">
        <v>5</v>
      </c>
      <c r="W962" s="57" t="s">
        <v>82</v>
      </c>
      <c r="X962" s="57" t="s">
        <v>98</v>
      </c>
      <c r="Y962" s="57" t="s">
        <v>279</v>
      </c>
      <c r="Z962" s="57" t="s">
        <v>90</v>
      </c>
      <c r="AA962" s="12" t="b">
        <f t="shared" si="382"/>
        <v>1</v>
      </c>
      <c r="AB962" s="12" t="b">
        <f t="shared" si="383"/>
        <v>1</v>
      </c>
      <c r="AC962" s="12" t="b">
        <f t="shared" si="384"/>
        <v>1</v>
      </c>
      <c r="AD962" s="12" t="b">
        <f t="shared" si="385"/>
        <v>1</v>
      </c>
      <c r="AE962" s="12" t="b">
        <f t="shared" si="386"/>
        <v>1</v>
      </c>
      <c r="AF962" s="12" t="b">
        <f t="shared" si="387"/>
        <v>1</v>
      </c>
    </row>
    <row r="963" spans="1:32" s="12" customFormat="1" ht="15.75" customHeight="1">
      <c r="A963" s="285"/>
      <c r="B963" s="65" t="s">
        <v>217</v>
      </c>
      <c r="C963" s="56" t="s">
        <v>5</v>
      </c>
      <c r="D963" s="57" t="s">
        <v>82</v>
      </c>
      <c r="E963" s="57" t="s">
        <v>98</v>
      </c>
      <c r="F963" s="57" t="s">
        <v>280</v>
      </c>
      <c r="G963" s="57" t="s">
        <v>90</v>
      </c>
      <c r="H963" s="58">
        <f t="shared" si="388"/>
        <v>1711</v>
      </c>
      <c r="I963" s="58">
        <f t="shared" si="388"/>
        <v>1711</v>
      </c>
      <c r="J963" s="58">
        <f t="shared" si="388"/>
        <v>1711</v>
      </c>
      <c r="K963" s="58">
        <v>1711</v>
      </c>
      <c r="L963" s="58">
        <v>1711</v>
      </c>
      <c r="M963" s="58">
        <v>1711</v>
      </c>
      <c r="N963" s="58"/>
      <c r="O963" s="58">
        <v>1711</v>
      </c>
      <c r="P963" s="58">
        <v>1711</v>
      </c>
      <c r="Q963" s="58">
        <v>1711</v>
      </c>
      <c r="R963" s="472">
        <f t="shared" si="389"/>
        <v>0</v>
      </c>
      <c r="S963" s="472">
        <f t="shared" si="390"/>
        <v>0</v>
      </c>
      <c r="T963" s="472">
        <f t="shared" si="391"/>
        <v>0</v>
      </c>
      <c r="U963" s="65" t="s">
        <v>217</v>
      </c>
      <c r="V963" s="56" t="s">
        <v>5</v>
      </c>
      <c r="W963" s="57" t="s">
        <v>82</v>
      </c>
      <c r="X963" s="57" t="s">
        <v>98</v>
      </c>
      <c r="Y963" s="57" t="s">
        <v>280</v>
      </c>
      <c r="Z963" s="57" t="s">
        <v>90</v>
      </c>
      <c r="AA963" s="12" t="b">
        <f t="shared" si="382"/>
        <v>1</v>
      </c>
      <c r="AB963" s="12" t="b">
        <f t="shared" si="383"/>
        <v>1</v>
      </c>
      <c r="AC963" s="12" t="b">
        <f t="shared" si="384"/>
        <v>1</v>
      </c>
      <c r="AD963" s="12" t="b">
        <f t="shared" si="385"/>
        <v>1</v>
      </c>
      <c r="AE963" s="12" t="b">
        <f t="shared" si="386"/>
        <v>1</v>
      </c>
      <c r="AF963" s="12" t="b">
        <f t="shared" si="387"/>
        <v>1</v>
      </c>
    </row>
    <row r="964" spans="1:32" s="12" customFormat="1" ht="15.75" customHeight="1">
      <c r="A964" s="285"/>
      <c r="B964" s="65" t="s">
        <v>523</v>
      </c>
      <c r="C964" s="56" t="s">
        <v>5</v>
      </c>
      <c r="D964" s="57" t="s">
        <v>82</v>
      </c>
      <c r="E964" s="57" t="s">
        <v>98</v>
      </c>
      <c r="F964" s="57" t="s">
        <v>281</v>
      </c>
      <c r="G964" s="57" t="s">
        <v>90</v>
      </c>
      <c r="H964" s="58">
        <f>H965+H967</f>
        <v>1711</v>
      </c>
      <c r="I964" s="58">
        <f>I965+I967</f>
        <v>1711</v>
      </c>
      <c r="J964" s="58">
        <f>J965+J967</f>
        <v>1711</v>
      </c>
      <c r="K964" s="58">
        <v>1711</v>
      </c>
      <c r="L964" s="58">
        <v>1711</v>
      </c>
      <c r="M964" s="58">
        <v>1711</v>
      </c>
      <c r="N964" s="58"/>
      <c r="O964" s="58">
        <v>1711</v>
      </c>
      <c r="P964" s="58">
        <v>1711</v>
      </c>
      <c r="Q964" s="58">
        <v>1711</v>
      </c>
      <c r="R964" s="472">
        <f t="shared" si="389"/>
        <v>0</v>
      </c>
      <c r="S964" s="472">
        <f t="shared" si="390"/>
        <v>0</v>
      </c>
      <c r="T964" s="472">
        <f t="shared" si="391"/>
        <v>0</v>
      </c>
      <c r="U964" s="65" t="s">
        <v>523</v>
      </c>
      <c r="V964" s="56" t="s">
        <v>5</v>
      </c>
      <c r="W964" s="57" t="s">
        <v>82</v>
      </c>
      <c r="X964" s="57" t="s">
        <v>98</v>
      </c>
      <c r="Y964" s="57" t="s">
        <v>281</v>
      </c>
      <c r="Z964" s="57" t="s">
        <v>90</v>
      </c>
      <c r="AA964" s="12" t="b">
        <f t="shared" si="382"/>
        <v>1</v>
      </c>
      <c r="AB964" s="12" t="b">
        <f t="shared" si="383"/>
        <v>1</v>
      </c>
      <c r="AC964" s="12" t="b">
        <f t="shared" si="384"/>
        <v>1</v>
      </c>
      <c r="AD964" s="12" t="b">
        <f t="shared" si="385"/>
        <v>1</v>
      </c>
      <c r="AE964" s="12" t="b">
        <f t="shared" si="386"/>
        <v>1</v>
      </c>
      <c r="AF964" s="12" t="b">
        <f t="shared" si="387"/>
        <v>1</v>
      </c>
    </row>
    <row r="965" spans="1:32" s="12" customFormat="1" ht="15.75" customHeight="1">
      <c r="A965" s="285"/>
      <c r="B965" s="182" t="s">
        <v>189</v>
      </c>
      <c r="C965" s="56" t="s">
        <v>5</v>
      </c>
      <c r="D965" s="57" t="s">
        <v>82</v>
      </c>
      <c r="E965" s="57" t="s">
        <v>98</v>
      </c>
      <c r="F965" s="57" t="s">
        <v>307</v>
      </c>
      <c r="G965" s="57" t="s">
        <v>90</v>
      </c>
      <c r="H965" s="58">
        <f>H966</f>
        <v>1095.45</v>
      </c>
      <c r="I965" s="58">
        <f>I966</f>
        <v>1095.45</v>
      </c>
      <c r="J965" s="58">
        <f>J966</f>
        <v>1095.45</v>
      </c>
      <c r="K965" s="58">
        <v>1095.45</v>
      </c>
      <c r="L965" s="58">
        <v>1095.45</v>
      </c>
      <c r="M965" s="58">
        <v>1095.45</v>
      </c>
      <c r="N965" s="58"/>
      <c r="O965" s="58">
        <v>1095.45</v>
      </c>
      <c r="P965" s="58">
        <v>1095.45</v>
      </c>
      <c r="Q965" s="58">
        <v>1095.45</v>
      </c>
      <c r="R965" s="472">
        <f t="shared" si="389"/>
        <v>0</v>
      </c>
      <c r="S965" s="472">
        <f t="shared" si="390"/>
        <v>0</v>
      </c>
      <c r="T965" s="472">
        <f t="shared" si="391"/>
        <v>0</v>
      </c>
      <c r="U965" s="182" t="s">
        <v>189</v>
      </c>
      <c r="V965" s="56" t="s">
        <v>5</v>
      </c>
      <c r="W965" s="57" t="s">
        <v>82</v>
      </c>
      <c r="X965" s="57" t="s">
        <v>98</v>
      </c>
      <c r="Y965" s="57" t="s">
        <v>307</v>
      </c>
      <c r="Z965" s="57" t="s">
        <v>90</v>
      </c>
      <c r="AA965" s="12" t="b">
        <f t="shared" si="382"/>
        <v>1</v>
      </c>
      <c r="AB965" s="12" t="b">
        <f t="shared" si="383"/>
        <v>1</v>
      </c>
      <c r="AC965" s="12" t="b">
        <f t="shared" si="384"/>
        <v>1</v>
      </c>
      <c r="AD965" s="12" t="b">
        <f t="shared" si="385"/>
        <v>1</v>
      </c>
      <c r="AE965" s="12" t="b">
        <f t="shared" si="386"/>
        <v>1</v>
      </c>
      <c r="AF965" s="12" t="b">
        <f t="shared" si="387"/>
        <v>1</v>
      </c>
    </row>
    <row r="966" spans="1:32" s="12" customFormat="1" ht="15.75" customHeight="1">
      <c r="A966" s="285"/>
      <c r="B966" s="54" t="s">
        <v>145</v>
      </c>
      <c r="C966" s="56" t="s">
        <v>5</v>
      </c>
      <c r="D966" s="57" t="s">
        <v>82</v>
      </c>
      <c r="E966" s="57" t="s">
        <v>98</v>
      </c>
      <c r="F966" s="57" t="s">
        <v>307</v>
      </c>
      <c r="G966" s="57" t="s">
        <v>153</v>
      </c>
      <c r="H966" s="58">
        <v>1095.45</v>
      </c>
      <c r="I966" s="58">
        <v>1095.45</v>
      </c>
      <c r="J966" s="58">
        <v>1095.45</v>
      </c>
      <c r="K966" s="58">
        <v>1095.45</v>
      </c>
      <c r="L966" s="58">
        <v>1095.45</v>
      </c>
      <c r="M966" s="58">
        <v>1095.45</v>
      </c>
      <c r="N966" s="58"/>
      <c r="O966" s="58">
        <v>1095.45</v>
      </c>
      <c r="P966" s="58">
        <v>1095.45</v>
      </c>
      <c r="Q966" s="58">
        <v>1095.45</v>
      </c>
      <c r="R966" s="472">
        <f t="shared" si="389"/>
        <v>0</v>
      </c>
      <c r="S966" s="472">
        <f t="shared" si="390"/>
        <v>0</v>
      </c>
      <c r="T966" s="472">
        <f t="shared" si="391"/>
        <v>0</v>
      </c>
      <c r="U966" s="54" t="s">
        <v>145</v>
      </c>
      <c r="V966" s="56" t="s">
        <v>5</v>
      </c>
      <c r="W966" s="57" t="s">
        <v>82</v>
      </c>
      <c r="X966" s="57" t="s">
        <v>98</v>
      </c>
      <c r="Y966" s="57" t="s">
        <v>307</v>
      </c>
      <c r="Z966" s="57" t="s">
        <v>153</v>
      </c>
      <c r="AA966" s="12" t="b">
        <f t="shared" si="382"/>
        <v>1</v>
      </c>
      <c r="AB966" s="12" t="b">
        <f t="shared" si="383"/>
        <v>1</v>
      </c>
      <c r="AC966" s="12" t="b">
        <f t="shared" si="384"/>
        <v>1</v>
      </c>
      <c r="AD966" s="12" t="b">
        <f t="shared" si="385"/>
        <v>1</v>
      </c>
      <c r="AE966" s="12" t="b">
        <f t="shared" si="386"/>
        <v>1</v>
      </c>
      <c r="AF966" s="12" t="b">
        <f t="shared" si="387"/>
        <v>1</v>
      </c>
    </row>
    <row r="967" spans="1:32" s="12" customFormat="1" ht="15.75" customHeight="1">
      <c r="A967" s="285"/>
      <c r="B967" s="22" t="s">
        <v>757</v>
      </c>
      <c r="C967" s="56" t="s">
        <v>5</v>
      </c>
      <c r="D967" s="57" t="s">
        <v>82</v>
      </c>
      <c r="E967" s="57" t="s">
        <v>98</v>
      </c>
      <c r="F967" s="57" t="s">
        <v>439</v>
      </c>
      <c r="G967" s="57" t="s">
        <v>90</v>
      </c>
      <c r="H967" s="58">
        <f>H968</f>
        <v>615.54999999999995</v>
      </c>
      <c r="I967" s="58">
        <f>I968</f>
        <v>615.54999999999995</v>
      </c>
      <c r="J967" s="58">
        <f>J968</f>
        <v>615.54999999999995</v>
      </c>
      <c r="K967" s="58">
        <v>615.54999999999995</v>
      </c>
      <c r="L967" s="58">
        <v>615.54999999999995</v>
      </c>
      <c r="M967" s="58">
        <v>615.54999999999995</v>
      </c>
      <c r="N967" s="58"/>
      <c r="O967" s="58">
        <v>615.54999999999995</v>
      </c>
      <c r="P967" s="58">
        <v>615.54999999999995</v>
      </c>
      <c r="Q967" s="58">
        <v>615.54999999999995</v>
      </c>
      <c r="R967" s="472">
        <f t="shared" si="389"/>
        <v>0</v>
      </c>
      <c r="S967" s="472">
        <f t="shared" si="390"/>
        <v>0</v>
      </c>
      <c r="T967" s="472">
        <f t="shared" si="391"/>
        <v>0</v>
      </c>
      <c r="U967" s="22" t="s">
        <v>757</v>
      </c>
      <c r="V967" s="56" t="s">
        <v>5</v>
      </c>
      <c r="W967" s="57" t="s">
        <v>82</v>
      </c>
      <c r="X967" s="57" t="s">
        <v>98</v>
      </c>
      <c r="Y967" s="57" t="s">
        <v>439</v>
      </c>
      <c r="Z967" s="57" t="s">
        <v>90</v>
      </c>
      <c r="AA967" s="12" t="b">
        <f t="shared" si="382"/>
        <v>1</v>
      </c>
      <c r="AB967" s="12" t="b">
        <f t="shared" si="383"/>
        <v>1</v>
      </c>
      <c r="AC967" s="12" t="b">
        <f t="shared" si="384"/>
        <v>1</v>
      </c>
      <c r="AD967" s="12" t="b">
        <f t="shared" si="385"/>
        <v>1</v>
      </c>
      <c r="AE967" s="12" t="b">
        <f t="shared" si="386"/>
        <v>1</v>
      </c>
      <c r="AF967" s="12" t="b">
        <f t="shared" si="387"/>
        <v>1</v>
      </c>
    </row>
    <row r="968" spans="1:32" ht="15.75" customHeight="1">
      <c r="B968" s="182" t="s">
        <v>145</v>
      </c>
      <c r="C968" s="36" t="s">
        <v>5</v>
      </c>
      <c r="D968" s="37" t="s">
        <v>82</v>
      </c>
      <c r="E968" s="37" t="s">
        <v>98</v>
      </c>
      <c r="F968" s="37" t="s">
        <v>439</v>
      </c>
      <c r="G968" s="37" t="s">
        <v>153</v>
      </c>
      <c r="H968" s="183">
        <v>615.54999999999995</v>
      </c>
      <c r="I968" s="183">
        <v>615.54999999999995</v>
      </c>
      <c r="J968" s="183">
        <v>615.54999999999995</v>
      </c>
      <c r="K968" s="183">
        <v>615.54999999999995</v>
      </c>
      <c r="L968" s="183">
        <v>615.54999999999995</v>
      </c>
      <c r="M968" s="183">
        <v>615.54999999999995</v>
      </c>
      <c r="N968" s="183"/>
      <c r="O968" s="183">
        <v>615.54999999999995</v>
      </c>
      <c r="P968" s="183">
        <v>615.54999999999995</v>
      </c>
      <c r="Q968" s="183">
        <v>615.54999999999995</v>
      </c>
      <c r="R968" s="472">
        <f t="shared" si="389"/>
        <v>0</v>
      </c>
      <c r="S968" s="472">
        <f t="shared" si="390"/>
        <v>0</v>
      </c>
      <c r="T968" s="472">
        <f t="shared" si="391"/>
        <v>0</v>
      </c>
      <c r="U968" s="182" t="s">
        <v>145</v>
      </c>
      <c r="V968" s="36" t="s">
        <v>5</v>
      </c>
      <c r="W968" s="37" t="s">
        <v>82</v>
      </c>
      <c r="X968" s="37" t="s">
        <v>98</v>
      </c>
      <c r="Y968" s="37" t="s">
        <v>439</v>
      </c>
      <c r="Z968" s="37" t="s">
        <v>153</v>
      </c>
      <c r="AA968" s="12" t="b">
        <f t="shared" si="382"/>
        <v>1</v>
      </c>
      <c r="AB968" s="12" t="b">
        <f t="shared" si="383"/>
        <v>1</v>
      </c>
      <c r="AC968" s="12" t="b">
        <f t="shared" si="384"/>
        <v>1</v>
      </c>
      <c r="AD968" s="12" t="b">
        <f t="shared" si="385"/>
        <v>1</v>
      </c>
      <c r="AE968" s="12" t="b">
        <f t="shared" si="386"/>
        <v>1</v>
      </c>
      <c r="AF968" s="12" t="b">
        <f t="shared" si="387"/>
        <v>1</v>
      </c>
    </row>
    <row r="969" spans="1:32" ht="15.75" customHeight="1">
      <c r="B969" s="182"/>
      <c r="C969" s="36"/>
      <c r="D969" s="37"/>
      <c r="E969" s="37"/>
      <c r="F969" s="37"/>
      <c r="G969" s="37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472">
        <f t="shared" si="389"/>
        <v>0</v>
      </c>
      <c r="S969" s="472">
        <f t="shared" si="390"/>
        <v>0</v>
      </c>
      <c r="T969" s="472">
        <f t="shared" si="391"/>
        <v>0</v>
      </c>
      <c r="U969" s="182"/>
      <c r="V969" s="36"/>
      <c r="W969" s="37"/>
      <c r="X969" s="37"/>
      <c r="Y969" s="37"/>
      <c r="Z969" s="37"/>
      <c r="AA969" s="12" t="b">
        <f t="shared" si="382"/>
        <v>1</v>
      </c>
      <c r="AB969" s="12" t="b">
        <f t="shared" si="383"/>
        <v>1</v>
      </c>
      <c r="AC969" s="12" t="b">
        <f t="shared" si="384"/>
        <v>1</v>
      </c>
      <c r="AD969" s="12" t="b">
        <f t="shared" si="385"/>
        <v>1</v>
      </c>
      <c r="AE969" s="12" t="b">
        <f t="shared" si="386"/>
        <v>1</v>
      </c>
      <c r="AF969" s="12" t="b">
        <f t="shared" si="387"/>
        <v>1</v>
      </c>
    </row>
    <row r="970" spans="1:32" s="12" customFormat="1" ht="15.75" customHeight="1">
      <c r="A970" s="285"/>
      <c r="B970" s="42" t="s">
        <v>10</v>
      </c>
      <c r="C970" s="25" t="s">
        <v>11</v>
      </c>
      <c r="D970" s="26" t="s">
        <v>83</v>
      </c>
      <c r="E970" s="26" t="s">
        <v>83</v>
      </c>
      <c r="F970" s="26" t="s">
        <v>223</v>
      </c>
      <c r="G970" s="26" t="s">
        <v>90</v>
      </c>
      <c r="H970" s="43">
        <f>H971+H996+H1005+H1022</f>
        <v>155436.77000000002</v>
      </c>
      <c r="I970" s="43">
        <f>I971+I996+I1005+I1022</f>
        <v>163991.44</v>
      </c>
      <c r="J970" s="43">
        <f>J971+J996+J1005+J1022</f>
        <v>164140.48000000001</v>
      </c>
      <c r="K970" s="43">
        <v>155436.95000000001</v>
      </c>
      <c r="L970" s="43">
        <v>163991.62</v>
      </c>
      <c r="M970" s="43">
        <v>164140.66</v>
      </c>
      <c r="N970" s="43"/>
      <c r="O970" s="43">
        <v>155136.95000000001</v>
      </c>
      <c r="P970" s="43">
        <v>163991.62</v>
      </c>
      <c r="Q970" s="43">
        <v>164140.66</v>
      </c>
      <c r="R970" s="472">
        <f t="shared" si="389"/>
        <v>299.82000000000698</v>
      </c>
      <c r="S970" s="472">
        <f t="shared" si="390"/>
        <v>-0.17999999999301508</v>
      </c>
      <c r="T970" s="472">
        <f t="shared" si="391"/>
        <v>-0.17999999999301508</v>
      </c>
      <c r="U970" s="42" t="s">
        <v>10</v>
      </c>
      <c r="V970" s="25" t="s">
        <v>11</v>
      </c>
      <c r="W970" s="26" t="s">
        <v>83</v>
      </c>
      <c r="X970" s="26" t="s">
        <v>83</v>
      </c>
      <c r="Y970" s="26" t="s">
        <v>223</v>
      </c>
      <c r="Z970" s="26" t="s">
        <v>90</v>
      </c>
      <c r="AA970" s="12" t="b">
        <f t="shared" si="382"/>
        <v>1</v>
      </c>
      <c r="AB970" s="12" t="b">
        <f t="shared" si="383"/>
        <v>1</v>
      </c>
      <c r="AC970" s="12" t="b">
        <f t="shared" si="384"/>
        <v>1</v>
      </c>
      <c r="AD970" s="12" t="b">
        <f t="shared" si="385"/>
        <v>1</v>
      </c>
      <c r="AE970" s="12" t="b">
        <f t="shared" si="386"/>
        <v>1</v>
      </c>
      <c r="AF970" s="12" t="b">
        <f t="shared" si="387"/>
        <v>1</v>
      </c>
    </row>
    <row r="971" spans="1:32" s="12" customFormat="1" ht="15.75" customHeight="1">
      <c r="A971" s="285"/>
      <c r="B971" s="28" t="s">
        <v>97</v>
      </c>
      <c r="C971" s="29" t="s">
        <v>11</v>
      </c>
      <c r="D971" s="30" t="s">
        <v>98</v>
      </c>
      <c r="E971" s="30" t="s">
        <v>83</v>
      </c>
      <c r="F971" s="30" t="s">
        <v>223</v>
      </c>
      <c r="G971" s="30" t="s">
        <v>90</v>
      </c>
      <c r="H971" s="31">
        <f>H972+H986</f>
        <v>46259.530000000006</v>
      </c>
      <c r="I971" s="31">
        <f>I972+I986</f>
        <v>46204.47</v>
      </c>
      <c r="J971" s="31">
        <f>J972+J986</f>
        <v>46265.17</v>
      </c>
      <c r="K971" s="31">
        <v>46259.710000000006</v>
      </c>
      <c r="L971" s="31">
        <v>46204.65</v>
      </c>
      <c r="M971" s="31">
        <v>46265.35</v>
      </c>
      <c r="N971" s="31"/>
      <c r="O971" s="31">
        <v>46259.710000000006</v>
      </c>
      <c r="P971" s="31">
        <v>46204.65</v>
      </c>
      <c r="Q971" s="31">
        <v>46265.35</v>
      </c>
      <c r="R971" s="472">
        <f t="shared" si="389"/>
        <v>-0.18000000000029104</v>
      </c>
      <c r="S971" s="472">
        <f t="shared" si="390"/>
        <v>-0.18000000000029104</v>
      </c>
      <c r="T971" s="472">
        <f t="shared" si="391"/>
        <v>-0.18000000000029104</v>
      </c>
      <c r="U971" s="28" t="s">
        <v>97</v>
      </c>
      <c r="V971" s="29" t="s">
        <v>11</v>
      </c>
      <c r="W971" s="30" t="s">
        <v>98</v>
      </c>
      <c r="X971" s="30" t="s">
        <v>83</v>
      </c>
      <c r="Y971" s="30" t="s">
        <v>223</v>
      </c>
      <c r="Z971" s="30" t="s">
        <v>90</v>
      </c>
      <c r="AA971" s="12" t="b">
        <f t="shared" si="382"/>
        <v>1</v>
      </c>
      <c r="AB971" s="12" t="b">
        <f t="shared" si="383"/>
        <v>1</v>
      </c>
      <c r="AC971" s="12" t="b">
        <f t="shared" si="384"/>
        <v>1</v>
      </c>
      <c r="AD971" s="12" t="b">
        <f t="shared" si="385"/>
        <v>1</v>
      </c>
      <c r="AE971" s="12" t="b">
        <f t="shared" si="386"/>
        <v>1</v>
      </c>
      <c r="AF971" s="12" t="b">
        <f t="shared" si="387"/>
        <v>1</v>
      </c>
    </row>
    <row r="972" spans="1:32" s="12" customFormat="1" ht="15.75" customHeight="1">
      <c r="A972" s="285"/>
      <c r="B972" s="32" t="s">
        <v>41</v>
      </c>
      <c r="C972" s="33" t="s">
        <v>11</v>
      </c>
      <c r="D972" s="34" t="s">
        <v>98</v>
      </c>
      <c r="E972" s="34" t="s">
        <v>69</v>
      </c>
      <c r="F972" s="34" t="s">
        <v>223</v>
      </c>
      <c r="G972" s="34" t="s">
        <v>90</v>
      </c>
      <c r="H972" s="35">
        <f t="shared" ref="H972:J973" si="392">H973</f>
        <v>45152.37</v>
      </c>
      <c r="I972" s="35">
        <f t="shared" si="392"/>
        <v>45087.9</v>
      </c>
      <c r="J972" s="35">
        <f t="shared" si="392"/>
        <v>45138.81</v>
      </c>
      <c r="K972" s="35">
        <v>45152.55</v>
      </c>
      <c r="L972" s="35">
        <v>45088.08</v>
      </c>
      <c r="M972" s="35">
        <v>45138.99</v>
      </c>
      <c r="N972" s="35"/>
      <c r="O972" s="35">
        <v>45152.55</v>
      </c>
      <c r="P972" s="35">
        <v>45088.08</v>
      </c>
      <c r="Q972" s="35">
        <v>45138.99</v>
      </c>
      <c r="R972" s="472">
        <f t="shared" si="389"/>
        <v>-0.18000000000029104</v>
      </c>
      <c r="S972" s="472">
        <f t="shared" si="390"/>
        <v>-0.18000000000029104</v>
      </c>
      <c r="T972" s="472">
        <f t="shared" si="391"/>
        <v>-0.18000000000029104</v>
      </c>
      <c r="U972" s="32" t="s">
        <v>41</v>
      </c>
      <c r="V972" s="33" t="s">
        <v>11</v>
      </c>
      <c r="W972" s="34" t="s">
        <v>98</v>
      </c>
      <c r="X972" s="34" t="s">
        <v>69</v>
      </c>
      <c r="Y972" s="34" t="s">
        <v>223</v>
      </c>
      <c r="Z972" s="34" t="s">
        <v>90</v>
      </c>
      <c r="AA972" s="12" t="b">
        <f t="shared" si="382"/>
        <v>1</v>
      </c>
      <c r="AB972" s="12" t="b">
        <f t="shared" si="383"/>
        <v>1</v>
      </c>
      <c r="AC972" s="12" t="b">
        <f t="shared" si="384"/>
        <v>1</v>
      </c>
      <c r="AD972" s="12" t="b">
        <f t="shared" si="385"/>
        <v>1</v>
      </c>
      <c r="AE972" s="12" t="b">
        <f t="shared" si="386"/>
        <v>1</v>
      </c>
      <c r="AF972" s="12" t="b">
        <f t="shared" si="387"/>
        <v>1</v>
      </c>
    </row>
    <row r="973" spans="1:32" s="12" customFormat="1" ht="15.75" customHeight="1">
      <c r="A973" s="285"/>
      <c r="B973" s="182" t="s">
        <v>179</v>
      </c>
      <c r="C973" s="36" t="s">
        <v>11</v>
      </c>
      <c r="D973" s="37" t="s">
        <v>98</v>
      </c>
      <c r="E973" s="37" t="s">
        <v>69</v>
      </c>
      <c r="F973" s="37" t="s">
        <v>440</v>
      </c>
      <c r="G973" s="37" t="s">
        <v>90</v>
      </c>
      <c r="H973" s="183">
        <f t="shared" si="392"/>
        <v>45152.37</v>
      </c>
      <c r="I973" s="183">
        <f t="shared" si="392"/>
        <v>45087.9</v>
      </c>
      <c r="J973" s="183">
        <f t="shared" si="392"/>
        <v>45138.81</v>
      </c>
      <c r="K973" s="183">
        <v>45152.55</v>
      </c>
      <c r="L973" s="183">
        <v>45088.08</v>
      </c>
      <c r="M973" s="183">
        <v>45138.99</v>
      </c>
      <c r="N973" s="183"/>
      <c r="O973" s="183">
        <v>45152.55</v>
      </c>
      <c r="P973" s="183">
        <v>45088.08</v>
      </c>
      <c r="Q973" s="183">
        <v>45138.99</v>
      </c>
      <c r="R973" s="472">
        <f t="shared" si="389"/>
        <v>-0.18000000000029104</v>
      </c>
      <c r="S973" s="472">
        <f t="shared" si="390"/>
        <v>-0.18000000000029104</v>
      </c>
      <c r="T973" s="472">
        <f t="shared" si="391"/>
        <v>-0.18000000000029104</v>
      </c>
      <c r="U973" s="182" t="s">
        <v>179</v>
      </c>
      <c r="V973" s="36" t="s">
        <v>11</v>
      </c>
      <c r="W973" s="37" t="s">
        <v>98</v>
      </c>
      <c r="X973" s="37" t="s">
        <v>69</v>
      </c>
      <c r="Y973" s="37" t="s">
        <v>440</v>
      </c>
      <c r="Z973" s="37" t="s">
        <v>90</v>
      </c>
      <c r="AA973" s="12" t="b">
        <f t="shared" si="382"/>
        <v>1</v>
      </c>
      <c r="AB973" s="12" t="b">
        <f t="shared" si="383"/>
        <v>1</v>
      </c>
      <c r="AC973" s="12" t="b">
        <f t="shared" si="384"/>
        <v>1</v>
      </c>
      <c r="AD973" s="12" t="b">
        <f t="shared" si="385"/>
        <v>1</v>
      </c>
      <c r="AE973" s="12" t="b">
        <f t="shared" si="386"/>
        <v>1</v>
      </c>
      <c r="AF973" s="12" t="b">
        <f t="shared" si="387"/>
        <v>1</v>
      </c>
    </row>
    <row r="974" spans="1:32" s="12" customFormat="1" ht="15.75" customHeight="1">
      <c r="A974" s="285"/>
      <c r="B974" s="182" t="s">
        <v>180</v>
      </c>
      <c r="C974" s="36" t="s">
        <v>11</v>
      </c>
      <c r="D974" s="37" t="s">
        <v>98</v>
      </c>
      <c r="E974" s="37" t="s">
        <v>69</v>
      </c>
      <c r="F974" s="37" t="s">
        <v>441</v>
      </c>
      <c r="G974" s="37" t="s">
        <v>90</v>
      </c>
      <c r="H974" s="183">
        <f t="shared" ref="H974:J974" si="393">H975+H979+H981+H984</f>
        <v>45152.37</v>
      </c>
      <c r="I974" s="183">
        <f t="shared" si="393"/>
        <v>45087.9</v>
      </c>
      <c r="J974" s="183">
        <f t="shared" si="393"/>
        <v>45138.81</v>
      </c>
      <c r="K974" s="183">
        <v>45152.55</v>
      </c>
      <c r="L974" s="183">
        <v>45088.08</v>
      </c>
      <c r="M974" s="183">
        <v>45138.99</v>
      </c>
      <c r="N974" s="183"/>
      <c r="O974" s="183">
        <v>45152.55</v>
      </c>
      <c r="P974" s="183">
        <v>45088.08</v>
      </c>
      <c r="Q974" s="183">
        <v>45138.99</v>
      </c>
      <c r="R974" s="472">
        <f t="shared" si="389"/>
        <v>-0.18000000000029104</v>
      </c>
      <c r="S974" s="472">
        <f t="shared" si="390"/>
        <v>-0.18000000000029104</v>
      </c>
      <c r="T974" s="472">
        <f t="shared" si="391"/>
        <v>-0.18000000000029104</v>
      </c>
      <c r="U974" s="182" t="s">
        <v>180</v>
      </c>
      <c r="V974" s="36" t="s">
        <v>11</v>
      </c>
      <c r="W974" s="37" t="s">
        <v>98</v>
      </c>
      <c r="X974" s="37" t="s">
        <v>69</v>
      </c>
      <c r="Y974" s="37" t="s">
        <v>441</v>
      </c>
      <c r="Z974" s="37" t="s">
        <v>90</v>
      </c>
      <c r="AA974" s="12" t="b">
        <f t="shared" si="382"/>
        <v>1</v>
      </c>
      <c r="AB974" s="12" t="b">
        <f t="shared" si="383"/>
        <v>1</v>
      </c>
      <c r="AC974" s="12" t="b">
        <f t="shared" si="384"/>
        <v>1</v>
      </c>
      <c r="AD974" s="12" t="b">
        <f t="shared" si="385"/>
        <v>1</v>
      </c>
      <c r="AE974" s="12" t="b">
        <f t="shared" si="386"/>
        <v>1</v>
      </c>
      <c r="AF974" s="12" t="b">
        <f t="shared" si="387"/>
        <v>1</v>
      </c>
    </row>
    <row r="975" spans="1:32" s="12" customFormat="1" ht="15.75" customHeight="1">
      <c r="A975" s="285"/>
      <c r="B975" s="182" t="s">
        <v>151</v>
      </c>
      <c r="C975" s="36" t="s">
        <v>11</v>
      </c>
      <c r="D975" s="37" t="s">
        <v>98</v>
      </c>
      <c r="E975" s="37" t="s">
        <v>69</v>
      </c>
      <c r="F975" s="37" t="s">
        <v>442</v>
      </c>
      <c r="G975" s="37" t="s">
        <v>90</v>
      </c>
      <c r="H975" s="183">
        <f>SUM(H976:H978)</f>
        <v>4034.8000000000006</v>
      </c>
      <c r="I975" s="183">
        <f>SUM(I976:I978)</f>
        <v>3970.3300000000004</v>
      </c>
      <c r="J975" s="183">
        <f>SUM(J976:J978)</f>
        <v>4021.2400000000002</v>
      </c>
      <c r="K975" s="183">
        <v>4034.8000000000006</v>
      </c>
      <c r="L975" s="183">
        <v>3970.3300000000004</v>
      </c>
      <c r="M975" s="183">
        <v>4021.2400000000002</v>
      </c>
      <c r="N975" s="183"/>
      <c r="O975" s="183">
        <v>4034.8000000000006</v>
      </c>
      <c r="P975" s="183">
        <v>3970.3300000000004</v>
      </c>
      <c r="Q975" s="183">
        <v>4021.2400000000002</v>
      </c>
      <c r="R975" s="472">
        <f t="shared" si="389"/>
        <v>0</v>
      </c>
      <c r="S975" s="472">
        <f t="shared" si="390"/>
        <v>0</v>
      </c>
      <c r="T975" s="472">
        <f t="shared" si="391"/>
        <v>0</v>
      </c>
      <c r="U975" s="182" t="s">
        <v>151</v>
      </c>
      <c r="V975" s="36" t="s">
        <v>11</v>
      </c>
      <c r="W975" s="37" t="s">
        <v>98</v>
      </c>
      <c r="X975" s="37" t="s">
        <v>69</v>
      </c>
      <c r="Y975" s="37" t="s">
        <v>442</v>
      </c>
      <c r="Z975" s="37" t="s">
        <v>90</v>
      </c>
      <c r="AA975" s="12" t="b">
        <f t="shared" si="382"/>
        <v>1</v>
      </c>
      <c r="AB975" s="12" t="b">
        <f t="shared" si="383"/>
        <v>1</v>
      </c>
      <c r="AC975" s="12" t="b">
        <f t="shared" si="384"/>
        <v>1</v>
      </c>
      <c r="AD975" s="12" t="b">
        <f t="shared" si="385"/>
        <v>1</v>
      </c>
      <c r="AE975" s="12" t="b">
        <f t="shared" si="386"/>
        <v>1</v>
      </c>
      <c r="AF975" s="12" t="b">
        <f t="shared" si="387"/>
        <v>1</v>
      </c>
    </row>
    <row r="976" spans="1:32" s="12" customFormat="1" ht="15.75" customHeight="1">
      <c r="A976" s="285"/>
      <c r="B976" s="182" t="s">
        <v>144</v>
      </c>
      <c r="C976" s="36" t="s">
        <v>11</v>
      </c>
      <c r="D976" s="37" t="s">
        <v>98</v>
      </c>
      <c r="E976" s="37" t="s">
        <v>69</v>
      </c>
      <c r="F976" s="37" t="s">
        <v>442</v>
      </c>
      <c r="G976" s="37" t="s">
        <v>152</v>
      </c>
      <c r="H976" s="183">
        <f>637.1</f>
        <v>637.1</v>
      </c>
      <c r="I976" s="183">
        <v>637.1</v>
      </c>
      <c r="J976" s="183">
        <v>637.1</v>
      </c>
      <c r="K976" s="183">
        <v>637.1</v>
      </c>
      <c r="L976" s="183">
        <v>637.1</v>
      </c>
      <c r="M976" s="183">
        <v>637.1</v>
      </c>
      <c r="N976" s="183"/>
      <c r="O976" s="183">
        <v>637.1</v>
      </c>
      <c r="P976" s="183">
        <v>637.1</v>
      </c>
      <c r="Q976" s="183">
        <v>637.1</v>
      </c>
      <c r="R976" s="472">
        <f t="shared" si="389"/>
        <v>0</v>
      </c>
      <c r="S976" s="472">
        <f t="shared" si="390"/>
        <v>0</v>
      </c>
      <c r="T976" s="472">
        <f t="shared" si="391"/>
        <v>0</v>
      </c>
      <c r="U976" s="182" t="s">
        <v>144</v>
      </c>
      <c r="V976" s="36" t="s">
        <v>11</v>
      </c>
      <c r="W976" s="37" t="s">
        <v>98</v>
      </c>
      <c r="X976" s="37" t="s">
        <v>69</v>
      </c>
      <c r="Y976" s="37" t="s">
        <v>442</v>
      </c>
      <c r="Z976" s="37" t="s">
        <v>152</v>
      </c>
      <c r="AA976" s="12" t="b">
        <f t="shared" si="382"/>
        <v>1</v>
      </c>
      <c r="AB976" s="12" t="b">
        <f t="shared" si="383"/>
        <v>1</v>
      </c>
      <c r="AC976" s="12" t="b">
        <f t="shared" si="384"/>
        <v>1</v>
      </c>
      <c r="AD976" s="12" t="b">
        <f t="shared" si="385"/>
        <v>1</v>
      </c>
      <c r="AE976" s="12" t="b">
        <f t="shared" si="386"/>
        <v>1</v>
      </c>
      <c r="AF976" s="12" t="b">
        <f t="shared" si="387"/>
        <v>1</v>
      </c>
    </row>
    <row r="977" spans="1:32" s="12" customFormat="1" ht="15.75" customHeight="1">
      <c r="A977" s="285"/>
      <c r="B977" s="182" t="s">
        <v>145</v>
      </c>
      <c r="C977" s="36" t="s">
        <v>11</v>
      </c>
      <c r="D977" s="37" t="s">
        <v>98</v>
      </c>
      <c r="E977" s="37" t="s">
        <v>69</v>
      </c>
      <c r="F977" s="37" t="s">
        <v>442</v>
      </c>
      <c r="G977" s="37" t="s">
        <v>153</v>
      </c>
      <c r="H977" s="183">
        <f>3308.9-150+24.01+0.01+173.46</f>
        <v>3356.3800000000006</v>
      </c>
      <c r="I977" s="183">
        <f>3308.9-150+73+0.01+60</f>
        <v>3291.9100000000003</v>
      </c>
      <c r="J977" s="183">
        <f>3308.9-150+73+50.91+0.01+60</f>
        <v>3342.82</v>
      </c>
      <c r="K977" s="183">
        <v>3356.3800000000006</v>
      </c>
      <c r="L977" s="183">
        <v>3291.9100000000003</v>
      </c>
      <c r="M977" s="183">
        <v>3342.82</v>
      </c>
      <c r="N977" s="183"/>
      <c r="O977" s="183">
        <v>3356.3800000000006</v>
      </c>
      <c r="P977" s="183">
        <v>3291.9100000000003</v>
      </c>
      <c r="Q977" s="183">
        <v>3342.82</v>
      </c>
      <c r="R977" s="472">
        <f t="shared" si="389"/>
        <v>0</v>
      </c>
      <c r="S977" s="472">
        <f t="shared" si="390"/>
        <v>0</v>
      </c>
      <c r="T977" s="472">
        <f t="shared" si="391"/>
        <v>0</v>
      </c>
      <c r="U977" s="182" t="s">
        <v>145</v>
      </c>
      <c r="V977" s="36" t="s">
        <v>11</v>
      </c>
      <c r="W977" s="37" t="s">
        <v>98</v>
      </c>
      <c r="X977" s="37" t="s">
        <v>69</v>
      </c>
      <c r="Y977" s="37" t="s">
        <v>442</v>
      </c>
      <c r="Z977" s="37" t="s">
        <v>153</v>
      </c>
      <c r="AA977" s="12" t="b">
        <f t="shared" si="382"/>
        <v>1</v>
      </c>
      <c r="AB977" s="12" t="b">
        <f t="shared" si="383"/>
        <v>1</v>
      </c>
      <c r="AC977" s="12" t="b">
        <f t="shared" si="384"/>
        <v>1</v>
      </c>
      <c r="AD977" s="12" t="b">
        <f t="shared" si="385"/>
        <v>1</v>
      </c>
      <c r="AE977" s="12" t="b">
        <f t="shared" si="386"/>
        <v>1</v>
      </c>
      <c r="AF977" s="12" t="b">
        <f t="shared" si="387"/>
        <v>1</v>
      </c>
    </row>
    <row r="978" spans="1:32" s="12" customFormat="1" ht="15.75" customHeight="1">
      <c r="A978" s="285"/>
      <c r="B978" s="182" t="s">
        <v>137</v>
      </c>
      <c r="C978" s="36" t="s">
        <v>11</v>
      </c>
      <c r="D978" s="37" t="s">
        <v>98</v>
      </c>
      <c r="E978" s="37" t="s">
        <v>69</v>
      </c>
      <c r="F978" s="37" t="s">
        <v>442</v>
      </c>
      <c r="G978" s="37" t="s">
        <v>155</v>
      </c>
      <c r="H978" s="183">
        <v>41.32</v>
      </c>
      <c r="I978" s="183">
        <v>41.32</v>
      </c>
      <c r="J978" s="183">
        <v>41.32</v>
      </c>
      <c r="K978" s="183">
        <v>41.32</v>
      </c>
      <c r="L978" s="183">
        <v>41.32</v>
      </c>
      <c r="M978" s="183">
        <v>41.32</v>
      </c>
      <c r="N978" s="183"/>
      <c r="O978" s="183">
        <v>41.32</v>
      </c>
      <c r="P978" s="183">
        <v>41.32</v>
      </c>
      <c r="Q978" s="183">
        <v>41.32</v>
      </c>
      <c r="R978" s="472">
        <f t="shared" si="389"/>
        <v>0</v>
      </c>
      <c r="S978" s="472">
        <f t="shared" si="390"/>
        <v>0</v>
      </c>
      <c r="T978" s="472">
        <f t="shared" si="391"/>
        <v>0</v>
      </c>
      <c r="U978" s="182" t="s">
        <v>137</v>
      </c>
      <c r="V978" s="36" t="s">
        <v>11</v>
      </c>
      <c r="W978" s="37" t="s">
        <v>98</v>
      </c>
      <c r="X978" s="37" t="s">
        <v>69</v>
      </c>
      <c r="Y978" s="37" t="s">
        <v>442</v>
      </c>
      <c r="Z978" s="37" t="s">
        <v>155</v>
      </c>
      <c r="AA978" s="12" t="b">
        <f t="shared" si="382"/>
        <v>1</v>
      </c>
      <c r="AB978" s="12" t="b">
        <f t="shared" si="383"/>
        <v>1</v>
      </c>
      <c r="AC978" s="12" t="b">
        <f t="shared" si="384"/>
        <v>1</v>
      </c>
      <c r="AD978" s="12" t="b">
        <f t="shared" si="385"/>
        <v>1</v>
      </c>
      <c r="AE978" s="12" t="b">
        <f t="shared" si="386"/>
        <v>1</v>
      </c>
      <c r="AF978" s="12" t="b">
        <f t="shared" si="387"/>
        <v>1</v>
      </c>
    </row>
    <row r="979" spans="1:32" s="12" customFormat="1" ht="15.75" customHeight="1">
      <c r="A979" s="285"/>
      <c r="B979" s="54" t="s">
        <v>443</v>
      </c>
      <c r="C979" s="36" t="s">
        <v>11</v>
      </c>
      <c r="D979" s="37" t="s">
        <v>98</v>
      </c>
      <c r="E979" s="37" t="s">
        <v>69</v>
      </c>
      <c r="F979" s="37" t="s">
        <v>444</v>
      </c>
      <c r="G979" s="37" t="s">
        <v>90</v>
      </c>
      <c r="H979" s="183">
        <f>H980</f>
        <v>37871.19</v>
      </c>
      <c r="I979" s="183">
        <f>I980</f>
        <v>37871.19</v>
      </c>
      <c r="J979" s="183">
        <f>J980</f>
        <v>37871.19</v>
      </c>
      <c r="K979" s="183">
        <v>37871.19</v>
      </c>
      <c r="L979" s="183">
        <v>37871.19</v>
      </c>
      <c r="M979" s="183">
        <v>37871.19</v>
      </c>
      <c r="N979" s="183"/>
      <c r="O979" s="183">
        <v>37871.19</v>
      </c>
      <c r="P979" s="183">
        <v>37871.19</v>
      </c>
      <c r="Q979" s="183">
        <v>37871.19</v>
      </c>
      <c r="R979" s="472">
        <f t="shared" si="389"/>
        <v>0</v>
      </c>
      <c r="S979" s="472">
        <f t="shared" si="390"/>
        <v>0</v>
      </c>
      <c r="T979" s="472">
        <f t="shared" si="391"/>
        <v>0</v>
      </c>
      <c r="U979" s="54" t="s">
        <v>443</v>
      </c>
      <c r="V979" s="36" t="s">
        <v>11</v>
      </c>
      <c r="W979" s="37" t="s">
        <v>98</v>
      </c>
      <c r="X979" s="37" t="s">
        <v>69</v>
      </c>
      <c r="Y979" s="37" t="s">
        <v>444</v>
      </c>
      <c r="Z979" s="37" t="s">
        <v>90</v>
      </c>
      <c r="AA979" s="12" t="b">
        <f t="shared" si="382"/>
        <v>1</v>
      </c>
      <c r="AB979" s="12" t="b">
        <f t="shared" si="383"/>
        <v>1</v>
      </c>
      <c r="AC979" s="12" t="b">
        <f t="shared" si="384"/>
        <v>1</v>
      </c>
      <c r="AD979" s="12" t="b">
        <f t="shared" si="385"/>
        <v>1</v>
      </c>
      <c r="AE979" s="12" t="b">
        <f t="shared" si="386"/>
        <v>1</v>
      </c>
      <c r="AF979" s="12" t="b">
        <f t="shared" si="387"/>
        <v>1</v>
      </c>
    </row>
    <row r="980" spans="1:32" s="12" customFormat="1" ht="15.75" customHeight="1">
      <c r="A980" s="285"/>
      <c r="B980" s="54" t="s">
        <v>144</v>
      </c>
      <c r="C980" s="56" t="s">
        <v>11</v>
      </c>
      <c r="D980" s="57" t="s">
        <v>98</v>
      </c>
      <c r="E980" s="57" t="s">
        <v>69</v>
      </c>
      <c r="F980" s="57" t="s">
        <v>444</v>
      </c>
      <c r="G980" s="57" t="s">
        <v>152</v>
      </c>
      <c r="H980" s="183">
        <f>37179.15+692.04</f>
        <v>37871.19</v>
      </c>
      <c r="I980" s="183">
        <f t="shared" ref="I980:J980" si="394">37179.15+692.04</f>
        <v>37871.19</v>
      </c>
      <c r="J980" s="183">
        <f t="shared" si="394"/>
        <v>37871.19</v>
      </c>
      <c r="K980" s="183">
        <v>37871.19</v>
      </c>
      <c r="L980" s="183">
        <v>37871.19</v>
      </c>
      <c r="M980" s="183">
        <v>37871.19</v>
      </c>
      <c r="N980" s="183"/>
      <c r="O980" s="58">
        <v>37871.19</v>
      </c>
      <c r="P980" s="58">
        <v>37871.19</v>
      </c>
      <c r="Q980" s="58">
        <v>37871.19</v>
      </c>
      <c r="R980" s="472">
        <f t="shared" si="389"/>
        <v>0</v>
      </c>
      <c r="S980" s="472">
        <f t="shared" si="390"/>
        <v>0</v>
      </c>
      <c r="T980" s="472">
        <f t="shared" si="391"/>
        <v>0</v>
      </c>
      <c r="U980" s="54" t="s">
        <v>144</v>
      </c>
      <c r="V980" s="56" t="s">
        <v>11</v>
      </c>
      <c r="W980" s="57" t="s">
        <v>98</v>
      </c>
      <c r="X980" s="57" t="s">
        <v>69</v>
      </c>
      <c r="Y980" s="57" t="s">
        <v>444</v>
      </c>
      <c r="Z980" s="57" t="s">
        <v>152</v>
      </c>
      <c r="AA980" s="12" t="b">
        <f t="shared" si="382"/>
        <v>1</v>
      </c>
      <c r="AB980" s="12" t="b">
        <f t="shared" si="383"/>
        <v>1</v>
      </c>
      <c r="AC980" s="12" t="b">
        <f t="shared" si="384"/>
        <v>1</v>
      </c>
      <c r="AD980" s="12" t="b">
        <f t="shared" si="385"/>
        <v>1</v>
      </c>
      <c r="AE980" s="12" t="b">
        <f t="shared" si="386"/>
        <v>1</v>
      </c>
      <c r="AF980" s="12" t="b">
        <f t="shared" si="387"/>
        <v>1</v>
      </c>
    </row>
    <row r="981" spans="1:32" s="12" customFormat="1" ht="15.75" customHeight="1">
      <c r="A981" s="285" t="s">
        <v>799</v>
      </c>
      <c r="B981" s="182" t="s">
        <v>848</v>
      </c>
      <c r="C981" s="36" t="s">
        <v>11</v>
      </c>
      <c r="D981" s="37" t="s">
        <v>98</v>
      </c>
      <c r="E981" s="37" t="s">
        <v>69</v>
      </c>
      <c r="F981" s="37" t="s">
        <v>445</v>
      </c>
      <c r="G981" s="37" t="s">
        <v>90</v>
      </c>
      <c r="H981" s="183">
        <f>H982+H983</f>
        <v>1910.67</v>
      </c>
      <c r="I981" s="183">
        <f t="shared" ref="I981:J981" si="395">I982+I983</f>
        <v>1910.67</v>
      </c>
      <c r="J981" s="183">
        <f t="shared" si="395"/>
        <v>1910.67</v>
      </c>
      <c r="K981" s="183">
        <v>1910.67</v>
      </c>
      <c r="L981" s="183">
        <v>1910.67</v>
      </c>
      <c r="M981" s="183">
        <v>1910.67</v>
      </c>
      <c r="N981" s="183"/>
      <c r="O981" s="183">
        <v>1910.67</v>
      </c>
      <c r="P981" s="183">
        <v>1910.67</v>
      </c>
      <c r="Q981" s="183">
        <v>1910.67</v>
      </c>
      <c r="R981" s="472">
        <f t="shared" si="389"/>
        <v>0</v>
      </c>
      <c r="S981" s="472">
        <f t="shared" si="390"/>
        <v>0</v>
      </c>
      <c r="T981" s="472">
        <f t="shared" si="391"/>
        <v>0</v>
      </c>
      <c r="U981" s="182" t="s">
        <v>848</v>
      </c>
      <c r="V981" s="36" t="s">
        <v>11</v>
      </c>
      <c r="W981" s="37" t="s">
        <v>98</v>
      </c>
      <c r="X981" s="37" t="s">
        <v>69</v>
      </c>
      <c r="Y981" s="37" t="s">
        <v>445</v>
      </c>
      <c r="Z981" s="37" t="s">
        <v>90</v>
      </c>
      <c r="AA981" s="12" t="b">
        <f t="shared" si="382"/>
        <v>1</v>
      </c>
      <c r="AB981" s="12" t="b">
        <f t="shared" si="383"/>
        <v>1</v>
      </c>
      <c r="AC981" s="12" t="b">
        <f t="shared" si="384"/>
        <v>1</v>
      </c>
      <c r="AD981" s="12" t="b">
        <f t="shared" si="385"/>
        <v>1</v>
      </c>
      <c r="AE981" s="12" t="b">
        <f t="shared" si="386"/>
        <v>1</v>
      </c>
      <c r="AF981" s="12" t="b">
        <f t="shared" si="387"/>
        <v>1</v>
      </c>
    </row>
    <row r="982" spans="1:32" s="12" customFormat="1" ht="15.75" customHeight="1">
      <c r="A982" s="285" t="s">
        <v>964</v>
      </c>
      <c r="B982" s="54" t="s">
        <v>144</v>
      </c>
      <c r="C982" s="56" t="s">
        <v>11</v>
      </c>
      <c r="D982" s="57" t="s">
        <v>98</v>
      </c>
      <c r="E982" s="57" t="s">
        <v>69</v>
      </c>
      <c r="F982" s="57" t="s">
        <v>445</v>
      </c>
      <c r="G982" s="57" t="s">
        <v>152</v>
      </c>
      <c r="H982" s="183">
        <v>1807.91</v>
      </c>
      <c r="I982" s="183">
        <v>1807.91</v>
      </c>
      <c r="J982" s="183">
        <v>1807.91</v>
      </c>
      <c r="K982" s="183">
        <v>1807.91</v>
      </c>
      <c r="L982" s="183">
        <v>1807.91</v>
      </c>
      <c r="M982" s="183">
        <v>1807.91</v>
      </c>
      <c r="N982" s="183"/>
      <c r="O982" s="58">
        <v>1807.91</v>
      </c>
      <c r="P982" s="58">
        <v>1807.91</v>
      </c>
      <c r="Q982" s="58">
        <v>1807.91</v>
      </c>
      <c r="R982" s="472">
        <f t="shared" si="389"/>
        <v>0</v>
      </c>
      <c r="S982" s="472">
        <f t="shared" si="390"/>
        <v>0</v>
      </c>
      <c r="T982" s="472">
        <f t="shared" si="391"/>
        <v>0</v>
      </c>
      <c r="U982" s="54" t="s">
        <v>144</v>
      </c>
      <c r="V982" s="56" t="s">
        <v>11</v>
      </c>
      <c r="W982" s="57" t="s">
        <v>98</v>
      </c>
      <c r="X982" s="57" t="s">
        <v>69</v>
      </c>
      <c r="Y982" s="57" t="s">
        <v>445</v>
      </c>
      <c r="Z982" s="57" t="s">
        <v>152</v>
      </c>
      <c r="AA982" s="12" t="b">
        <f t="shared" si="382"/>
        <v>1</v>
      </c>
      <c r="AB982" s="12" t="b">
        <f t="shared" si="383"/>
        <v>1</v>
      </c>
      <c r="AC982" s="12" t="b">
        <f t="shared" si="384"/>
        <v>1</v>
      </c>
      <c r="AD982" s="12" t="b">
        <f t="shared" si="385"/>
        <v>1</v>
      </c>
      <c r="AE982" s="12" t="b">
        <f t="shared" si="386"/>
        <v>1</v>
      </c>
      <c r="AF982" s="12" t="b">
        <f t="shared" si="387"/>
        <v>1</v>
      </c>
    </row>
    <row r="983" spans="1:32" s="12" customFormat="1" ht="15.75" customHeight="1">
      <c r="A983" s="285" t="s">
        <v>964</v>
      </c>
      <c r="B983" s="182" t="s">
        <v>145</v>
      </c>
      <c r="C983" s="36" t="s">
        <v>11</v>
      </c>
      <c r="D983" s="37" t="s">
        <v>98</v>
      </c>
      <c r="E983" s="37" t="s">
        <v>69</v>
      </c>
      <c r="F983" s="37" t="s">
        <v>445</v>
      </c>
      <c r="G983" s="37" t="s">
        <v>153</v>
      </c>
      <c r="H983" s="183">
        <v>102.76</v>
      </c>
      <c r="I983" s="183">
        <v>102.76</v>
      </c>
      <c r="J983" s="183">
        <v>102.76</v>
      </c>
      <c r="K983" s="183">
        <v>102.76</v>
      </c>
      <c r="L983" s="183">
        <v>102.76</v>
      </c>
      <c r="M983" s="183">
        <v>102.76</v>
      </c>
      <c r="N983" s="183"/>
      <c r="O983" s="183">
        <v>102.76</v>
      </c>
      <c r="P983" s="183">
        <v>102.76</v>
      </c>
      <c r="Q983" s="183">
        <v>102.76</v>
      </c>
      <c r="R983" s="472">
        <f t="shared" si="389"/>
        <v>0</v>
      </c>
      <c r="S983" s="472">
        <f t="shared" si="390"/>
        <v>0</v>
      </c>
      <c r="T983" s="472">
        <f t="shared" si="391"/>
        <v>0</v>
      </c>
      <c r="U983" s="182" t="s">
        <v>145</v>
      </c>
      <c r="V983" s="36" t="s">
        <v>11</v>
      </c>
      <c r="W983" s="37" t="s">
        <v>98</v>
      </c>
      <c r="X983" s="37" t="s">
        <v>69</v>
      </c>
      <c r="Y983" s="37" t="s">
        <v>445</v>
      </c>
      <c r="Z983" s="37" t="s">
        <v>153</v>
      </c>
      <c r="AA983" s="12" t="b">
        <f t="shared" si="382"/>
        <v>1</v>
      </c>
      <c r="AB983" s="12" t="b">
        <f t="shared" si="383"/>
        <v>1</v>
      </c>
      <c r="AC983" s="12" t="b">
        <f t="shared" si="384"/>
        <v>1</v>
      </c>
      <c r="AD983" s="12" t="b">
        <f t="shared" si="385"/>
        <v>1</v>
      </c>
      <c r="AE983" s="12" t="b">
        <f t="shared" si="386"/>
        <v>1</v>
      </c>
      <c r="AF983" s="12" t="b">
        <f t="shared" si="387"/>
        <v>1</v>
      </c>
    </row>
    <row r="984" spans="1:32" s="12" customFormat="1" ht="15.75" customHeight="1">
      <c r="A984" s="285" t="s">
        <v>799</v>
      </c>
      <c r="B984" s="54" t="s">
        <v>849</v>
      </c>
      <c r="C984" s="36" t="str">
        <f t="shared" ref="C984:E985" si="396">C979</f>
        <v>618</v>
      </c>
      <c r="D984" s="37" t="str">
        <f t="shared" si="396"/>
        <v>01</v>
      </c>
      <c r="E984" s="37" t="str">
        <f t="shared" si="396"/>
        <v>04</v>
      </c>
      <c r="F984" s="37" t="s">
        <v>446</v>
      </c>
      <c r="G984" s="37" t="s">
        <v>90</v>
      </c>
      <c r="H984" s="183">
        <f>H985</f>
        <v>1335.71</v>
      </c>
      <c r="I984" s="183">
        <f t="shared" ref="I984:J984" si="397">I985</f>
        <v>1335.71</v>
      </c>
      <c r="J984" s="183">
        <f t="shared" si="397"/>
        <v>1335.71</v>
      </c>
      <c r="K984" s="183">
        <v>1335.89</v>
      </c>
      <c r="L984" s="183">
        <v>1335.89</v>
      </c>
      <c r="M984" s="183">
        <v>1335.89</v>
      </c>
      <c r="N984" s="183"/>
      <c r="O984" s="183">
        <v>1335.89</v>
      </c>
      <c r="P984" s="183">
        <v>1335.89</v>
      </c>
      <c r="Q984" s="183">
        <v>1335.89</v>
      </c>
      <c r="R984" s="472">
        <f t="shared" si="389"/>
        <v>-0.18000000000006366</v>
      </c>
      <c r="S984" s="472">
        <f t="shared" si="390"/>
        <v>-0.18000000000006366</v>
      </c>
      <c r="T984" s="472">
        <f t="shared" si="391"/>
        <v>-0.18000000000006366</v>
      </c>
      <c r="U984" s="54" t="s">
        <v>849</v>
      </c>
      <c r="V984" s="36" t="s">
        <v>11</v>
      </c>
      <c r="W984" s="37" t="s">
        <v>98</v>
      </c>
      <c r="X984" s="37" t="s">
        <v>69</v>
      </c>
      <c r="Y984" s="37" t="s">
        <v>446</v>
      </c>
      <c r="Z984" s="37" t="s">
        <v>90</v>
      </c>
      <c r="AA984" s="12" t="b">
        <f t="shared" si="382"/>
        <v>1</v>
      </c>
      <c r="AB984" s="12" t="b">
        <f t="shared" si="383"/>
        <v>1</v>
      </c>
      <c r="AC984" s="12" t="b">
        <f t="shared" si="384"/>
        <v>1</v>
      </c>
      <c r="AD984" s="12" t="b">
        <f t="shared" si="385"/>
        <v>1</v>
      </c>
      <c r="AE984" s="12" t="b">
        <f t="shared" si="386"/>
        <v>1</v>
      </c>
      <c r="AF984" s="12" t="b">
        <f t="shared" si="387"/>
        <v>1</v>
      </c>
    </row>
    <row r="985" spans="1:32" s="12" customFormat="1" ht="15.75" customHeight="1">
      <c r="A985" s="285" t="s">
        <v>964</v>
      </c>
      <c r="B985" s="182" t="s">
        <v>145</v>
      </c>
      <c r="C985" s="36" t="str">
        <f t="shared" si="396"/>
        <v>618</v>
      </c>
      <c r="D985" s="37" t="str">
        <f t="shared" si="396"/>
        <v>01</v>
      </c>
      <c r="E985" s="37" t="str">
        <f t="shared" si="396"/>
        <v>04</v>
      </c>
      <c r="F985" s="37" t="s">
        <v>446</v>
      </c>
      <c r="G985" s="37" t="s">
        <v>153</v>
      </c>
      <c r="H985" s="183">
        <f>1335.89-0.18</f>
        <v>1335.71</v>
      </c>
      <c r="I985" s="183">
        <f>1335.89-0.18</f>
        <v>1335.71</v>
      </c>
      <c r="J985" s="183">
        <f>1335.89-0.18</f>
        <v>1335.71</v>
      </c>
      <c r="K985" s="183">
        <v>1335.89</v>
      </c>
      <c r="L985" s="183">
        <v>1335.89</v>
      </c>
      <c r="M985" s="183">
        <v>1335.89</v>
      </c>
      <c r="N985" s="183"/>
      <c r="O985" s="183">
        <v>1335.89</v>
      </c>
      <c r="P985" s="183">
        <v>1335.89</v>
      </c>
      <c r="Q985" s="183">
        <v>1335.89</v>
      </c>
      <c r="R985" s="472">
        <f t="shared" si="389"/>
        <v>-0.18000000000006366</v>
      </c>
      <c r="S985" s="472">
        <f t="shared" si="390"/>
        <v>-0.18000000000006366</v>
      </c>
      <c r="T985" s="472">
        <f t="shared" si="391"/>
        <v>-0.18000000000006366</v>
      </c>
      <c r="U985" s="182" t="s">
        <v>145</v>
      </c>
      <c r="V985" s="36" t="s">
        <v>11</v>
      </c>
      <c r="W985" s="37" t="s">
        <v>98</v>
      </c>
      <c r="X985" s="37" t="s">
        <v>69</v>
      </c>
      <c r="Y985" s="37" t="s">
        <v>446</v>
      </c>
      <c r="Z985" s="37" t="s">
        <v>153</v>
      </c>
      <c r="AA985" s="12" t="b">
        <f t="shared" si="382"/>
        <v>1</v>
      </c>
      <c r="AB985" s="12" t="b">
        <f t="shared" si="383"/>
        <v>1</v>
      </c>
      <c r="AC985" s="12" t="b">
        <f t="shared" si="384"/>
        <v>1</v>
      </c>
      <c r="AD985" s="12" t="b">
        <f t="shared" si="385"/>
        <v>1</v>
      </c>
      <c r="AE985" s="12" t="b">
        <f t="shared" si="386"/>
        <v>1</v>
      </c>
      <c r="AF985" s="12" t="b">
        <f t="shared" si="387"/>
        <v>1</v>
      </c>
    </row>
    <row r="986" spans="1:32" s="12" customFormat="1" ht="15.75" customHeight="1">
      <c r="A986" s="285"/>
      <c r="B986" s="32" t="s">
        <v>70</v>
      </c>
      <c r="C986" s="33" t="s">
        <v>11</v>
      </c>
      <c r="D986" s="34" t="s">
        <v>98</v>
      </c>
      <c r="E986" s="34" t="s">
        <v>124</v>
      </c>
      <c r="F986" s="34" t="s">
        <v>223</v>
      </c>
      <c r="G986" s="34" t="s">
        <v>90</v>
      </c>
      <c r="H986" s="35">
        <f>H987+H992</f>
        <v>1107.1600000000001</v>
      </c>
      <c r="I986" s="35">
        <f>I987+I992</f>
        <v>1116.57</v>
      </c>
      <c r="J986" s="35">
        <f>J987+J992</f>
        <v>1126.3600000000001</v>
      </c>
      <c r="K986" s="35">
        <v>1107.1600000000001</v>
      </c>
      <c r="L986" s="35">
        <v>1116.57</v>
      </c>
      <c r="M986" s="35">
        <v>1126.3600000000001</v>
      </c>
      <c r="N986" s="35"/>
      <c r="O986" s="35">
        <v>1107.1600000000001</v>
      </c>
      <c r="P986" s="35">
        <v>1116.57</v>
      </c>
      <c r="Q986" s="35">
        <v>1126.3600000000001</v>
      </c>
      <c r="R986" s="472">
        <f t="shared" si="389"/>
        <v>0</v>
      </c>
      <c r="S986" s="472">
        <f t="shared" si="390"/>
        <v>0</v>
      </c>
      <c r="T986" s="472">
        <f t="shared" si="391"/>
        <v>0</v>
      </c>
      <c r="U986" s="32" t="s">
        <v>70</v>
      </c>
      <c r="V986" s="33" t="s">
        <v>11</v>
      </c>
      <c r="W986" s="34" t="s">
        <v>98</v>
      </c>
      <c r="X986" s="34" t="s">
        <v>124</v>
      </c>
      <c r="Y986" s="34" t="s">
        <v>223</v>
      </c>
      <c r="Z986" s="34" t="s">
        <v>90</v>
      </c>
      <c r="AA986" s="12" t="b">
        <f t="shared" si="382"/>
        <v>1</v>
      </c>
      <c r="AB986" s="12" t="b">
        <f t="shared" si="383"/>
        <v>1</v>
      </c>
      <c r="AC986" s="12" t="b">
        <f t="shared" si="384"/>
        <v>1</v>
      </c>
      <c r="AD986" s="12" t="b">
        <f t="shared" si="385"/>
        <v>1</v>
      </c>
      <c r="AE986" s="12" t="b">
        <f t="shared" si="386"/>
        <v>1</v>
      </c>
      <c r="AF986" s="12" t="b">
        <f t="shared" si="387"/>
        <v>1</v>
      </c>
    </row>
    <row r="987" spans="1:32" s="12" customFormat="1" ht="15.75" customHeight="1">
      <c r="A987" s="285"/>
      <c r="B987" s="23" t="s">
        <v>662</v>
      </c>
      <c r="C987" s="36" t="s">
        <v>11</v>
      </c>
      <c r="D987" s="37" t="s">
        <v>98</v>
      </c>
      <c r="E987" s="37" t="s">
        <v>124</v>
      </c>
      <c r="F987" s="37" t="s">
        <v>282</v>
      </c>
      <c r="G987" s="37" t="s">
        <v>90</v>
      </c>
      <c r="H987" s="183">
        <f t="shared" ref="H987:J990" si="398">H988</f>
        <v>407.16</v>
      </c>
      <c r="I987" s="183">
        <f t="shared" si="398"/>
        <v>416.57</v>
      </c>
      <c r="J987" s="183">
        <f t="shared" si="398"/>
        <v>426.36</v>
      </c>
      <c r="K987" s="183">
        <v>407.16</v>
      </c>
      <c r="L987" s="183">
        <v>416.57</v>
      </c>
      <c r="M987" s="183">
        <v>426.36</v>
      </c>
      <c r="N987" s="183"/>
      <c r="O987" s="183">
        <v>407.16</v>
      </c>
      <c r="P987" s="183">
        <v>416.57</v>
      </c>
      <c r="Q987" s="183">
        <v>426.36</v>
      </c>
      <c r="R987" s="472">
        <f t="shared" si="389"/>
        <v>0</v>
      </c>
      <c r="S987" s="472">
        <f t="shared" si="390"/>
        <v>0</v>
      </c>
      <c r="T987" s="472">
        <f t="shared" si="391"/>
        <v>0</v>
      </c>
      <c r="U987" s="23" t="s">
        <v>662</v>
      </c>
      <c r="V987" s="36" t="s">
        <v>11</v>
      </c>
      <c r="W987" s="37" t="s">
        <v>98</v>
      </c>
      <c r="X987" s="37" t="s">
        <v>124</v>
      </c>
      <c r="Y987" s="37" t="s">
        <v>282</v>
      </c>
      <c r="Z987" s="37" t="s">
        <v>90</v>
      </c>
      <c r="AA987" s="12" t="b">
        <f t="shared" si="382"/>
        <v>1</v>
      </c>
      <c r="AB987" s="12" t="b">
        <f t="shared" si="383"/>
        <v>1</v>
      </c>
      <c r="AC987" s="12" t="b">
        <f t="shared" si="384"/>
        <v>1</v>
      </c>
      <c r="AD987" s="12" t="b">
        <f t="shared" si="385"/>
        <v>1</v>
      </c>
      <c r="AE987" s="12" t="b">
        <f t="shared" si="386"/>
        <v>1</v>
      </c>
      <c r="AF987" s="12" t="b">
        <f t="shared" si="387"/>
        <v>1</v>
      </c>
    </row>
    <row r="988" spans="1:32" s="12" customFormat="1" ht="15.75" customHeight="1">
      <c r="A988" s="285"/>
      <c r="B988" s="23" t="s">
        <v>663</v>
      </c>
      <c r="C988" s="36" t="s">
        <v>11</v>
      </c>
      <c r="D988" s="37" t="s">
        <v>98</v>
      </c>
      <c r="E988" s="37" t="s">
        <v>124</v>
      </c>
      <c r="F988" s="37" t="s">
        <v>283</v>
      </c>
      <c r="G988" s="37" t="s">
        <v>90</v>
      </c>
      <c r="H988" s="183">
        <f t="shared" si="398"/>
        <v>407.16</v>
      </c>
      <c r="I988" s="183">
        <f t="shared" si="398"/>
        <v>416.57</v>
      </c>
      <c r="J988" s="183">
        <f t="shared" si="398"/>
        <v>426.36</v>
      </c>
      <c r="K988" s="183">
        <v>407.16</v>
      </c>
      <c r="L988" s="183">
        <v>416.57</v>
      </c>
      <c r="M988" s="183">
        <v>426.36</v>
      </c>
      <c r="N988" s="183"/>
      <c r="O988" s="183">
        <v>407.16</v>
      </c>
      <c r="P988" s="183">
        <v>416.57</v>
      </c>
      <c r="Q988" s="183">
        <v>426.36</v>
      </c>
      <c r="R988" s="472">
        <f t="shared" si="389"/>
        <v>0</v>
      </c>
      <c r="S988" s="472">
        <f t="shared" si="390"/>
        <v>0</v>
      </c>
      <c r="T988" s="472">
        <f t="shared" si="391"/>
        <v>0</v>
      </c>
      <c r="U988" s="23" t="s">
        <v>663</v>
      </c>
      <c r="V988" s="36" t="s">
        <v>11</v>
      </c>
      <c r="W988" s="37" t="s">
        <v>98</v>
      </c>
      <c r="X988" s="37" t="s">
        <v>124</v>
      </c>
      <c r="Y988" s="37" t="s">
        <v>283</v>
      </c>
      <c r="Z988" s="37" t="s">
        <v>90</v>
      </c>
      <c r="AA988" s="12" t="b">
        <f t="shared" si="382"/>
        <v>1</v>
      </c>
      <c r="AB988" s="12" t="b">
        <f t="shared" si="383"/>
        <v>1</v>
      </c>
      <c r="AC988" s="12" t="b">
        <f t="shared" si="384"/>
        <v>1</v>
      </c>
      <c r="AD988" s="12" t="b">
        <f t="shared" si="385"/>
        <v>1</v>
      </c>
      <c r="AE988" s="12" t="b">
        <f t="shared" si="386"/>
        <v>1</v>
      </c>
      <c r="AF988" s="12" t="b">
        <f t="shared" si="387"/>
        <v>1</v>
      </c>
    </row>
    <row r="989" spans="1:32" s="12" customFormat="1" ht="15.75" customHeight="1">
      <c r="A989" s="285"/>
      <c r="B989" s="109" t="s">
        <v>284</v>
      </c>
      <c r="C989" s="87" t="s">
        <v>11</v>
      </c>
      <c r="D989" s="37" t="s">
        <v>98</v>
      </c>
      <c r="E989" s="37" t="s">
        <v>124</v>
      </c>
      <c r="F989" s="37" t="s">
        <v>287</v>
      </c>
      <c r="G989" s="37" t="s">
        <v>90</v>
      </c>
      <c r="H989" s="183">
        <f>H990</f>
        <v>407.16</v>
      </c>
      <c r="I989" s="183">
        <f>I990</f>
        <v>416.57</v>
      </c>
      <c r="J989" s="183">
        <f>J990</f>
        <v>426.36</v>
      </c>
      <c r="K989" s="183">
        <v>407.16</v>
      </c>
      <c r="L989" s="183">
        <v>416.57</v>
      </c>
      <c r="M989" s="183">
        <v>426.36</v>
      </c>
      <c r="N989" s="183"/>
      <c r="O989" s="183">
        <v>407.16</v>
      </c>
      <c r="P989" s="183">
        <v>416.57</v>
      </c>
      <c r="Q989" s="183">
        <v>426.36</v>
      </c>
      <c r="R989" s="472">
        <f t="shared" si="389"/>
        <v>0</v>
      </c>
      <c r="S989" s="472">
        <f t="shared" si="390"/>
        <v>0</v>
      </c>
      <c r="T989" s="472">
        <f t="shared" si="391"/>
        <v>0</v>
      </c>
      <c r="U989" s="109" t="s">
        <v>284</v>
      </c>
      <c r="V989" s="87" t="s">
        <v>11</v>
      </c>
      <c r="W989" s="37" t="s">
        <v>98</v>
      </c>
      <c r="X989" s="37" t="s">
        <v>124</v>
      </c>
      <c r="Y989" s="37" t="s">
        <v>287</v>
      </c>
      <c r="Z989" s="37" t="s">
        <v>90</v>
      </c>
      <c r="AA989" s="12" t="b">
        <f t="shared" si="382"/>
        <v>1</v>
      </c>
      <c r="AB989" s="12" t="b">
        <f t="shared" si="383"/>
        <v>1</v>
      </c>
      <c r="AC989" s="12" t="b">
        <f t="shared" si="384"/>
        <v>1</v>
      </c>
      <c r="AD989" s="12" t="b">
        <f t="shared" si="385"/>
        <v>1</v>
      </c>
      <c r="AE989" s="12" t="b">
        <f t="shared" si="386"/>
        <v>1</v>
      </c>
      <c r="AF989" s="12" t="b">
        <f t="shared" si="387"/>
        <v>1</v>
      </c>
    </row>
    <row r="990" spans="1:32" s="12" customFormat="1" ht="15.75" customHeight="1">
      <c r="A990" s="285"/>
      <c r="B990" s="182" t="s">
        <v>194</v>
      </c>
      <c r="C990" s="56" t="s">
        <v>11</v>
      </c>
      <c r="D990" s="57" t="s">
        <v>98</v>
      </c>
      <c r="E990" s="57" t="s">
        <v>124</v>
      </c>
      <c r="F990" s="57" t="s">
        <v>957</v>
      </c>
      <c r="G990" s="57" t="s">
        <v>90</v>
      </c>
      <c r="H990" s="58">
        <f t="shared" si="398"/>
        <v>407.16</v>
      </c>
      <c r="I990" s="58">
        <f t="shared" si="398"/>
        <v>416.57</v>
      </c>
      <c r="J990" s="58">
        <f t="shared" si="398"/>
        <v>426.36</v>
      </c>
      <c r="K990" s="58">
        <v>407.16</v>
      </c>
      <c r="L990" s="58">
        <v>416.57</v>
      </c>
      <c r="M990" s="58">
        <v>426.36</v>
      </c>
      <c r="N990" s="58"/>
      <c r="O990" s="58">
        <v>407.16</v>
      </c>
      <c r="P990" s="58">
        <v>416.57</v>
      </c>
      <c r="Q990" s="58">
        <v>426.36</v>
      </c>
      <c r="R990" s="472">
        <f t="shared" si="389"/>
        <v>0</v>
      </c>
      <c r="S990" s="472">
        <f t="shared" si="390"/>
        <v>0</v>
      </c>
      <c r="T990" s="472">
        <f t="shared" si="391"/>
        <v>0</v>
      </c>
      <c r="U990" s="182" t="s">
        <v>194</v>
      </c>
      <c r="V990" s="56" t="s">
        <v>11</v>
      </c>
      <c r="W990" s="57" t="s">
        <v>98</v>
      </c>
      <c r="X990" s="57" t="s">
        <v>124</v>
      </c>
      <c r="Y990" s="57" t="s">
        <v>957</v>
      </c>
      <c r="Z990" s="57" t="s">
        <v>90</v>
      </c>
      <c r="AA990" s="12" t="b">
        <f t="shared" si="382"/>
        <v>1</v>
      </c>
      <c r="AB990" s="12" t="b">
        <f t="shared" si="383"/>
        <v>1</v>
      </c>
      <c r="AC990" s="12" t="b">
        <f t="shared" si="384"/>
        <v>1</v>
      </c>
      <c r="AD990" s="12" t="b">
        <f t="shared" si="385"/>
        <v>1</v>
      </c>
      <c r="AE990" s="12" t="b">
        <f t="shared" si="386"/>
        <v>1</v>
      </c>
      <c r="AF990" s="12" t="b">
        <f t="shared" si="387"/>
        <v>1</v>
      </c>
    </row>
    <row r="991" spans="1:32" s="12" customFormat="1" ht="15.75" customHeight="1">
      <c r="A991" s="285"/>
      <c r="B991" s="54" t="s">
        <v>145</v>
      </c>
      <c r="C991" s="56" t="s">
        <v>11</v>
      </c>
      <c r="D991" s="57" t="s">
        <v>98</v>
      </c>
      <c r="E991" s="57" t="s">
        <v>124</v>
      </c>
      <c r="F991" s="57" t="s">
        <v>957</v>
      </c>
      <c r="G991" s="57" t="s">
        <v>153</v>
      </c>
      <c r="H991" s="58">
        <f>402.54+4.62</f>
        <v>407.16</v>
      </c>
      <c r="I991" s="58">
        <f>402.54+14.03</f>
        <v>416.57</v>
      </c>
      <c r="J991" s="58">
        <f>402.54+14.03+9.79</f>
        <v>426.36</v>
      </c>
      <c r="K991" s="58">
        <v>407.16</v>
      </c>
      <c r="L991" s="58">
        <v>416.57</v>
      </c>
      <c r="M991" s="58">
        <v>426.36</v>
      </c>
      <c r="N991" s="58"/>
      <c r="O991" s="58">
        <v>407.16</v>
      </c>
      <c r="P991" s="58">
        <v>416.57</v>
      </c>
      <c r="Q991" s="58">
        <v>426.36</v>
      </c>
      <c r="R991" s="472">
        <f t="shared" si="389"/>
        <v>0</v>
      </c>
      <c r="S991" s="472">
        <f t="shared" si="390"/>
        <v>0</v>
      </c>
      <c r="T991" s="472">
        <f t="shared" si="391"/>
        <v>0</v>
      </c>
      <c r="U991" s="54" t="s">
        <v>145</v>
      </c>
      <c r="V991" s="56" t="s">
        <v>11</v>
      </c>
      <c r="W991" s="57" t="s">
        <v>98</v>
      </c>
      <c r="X991" s="57" t="s">
        <v>124</v>
      </c>
      <c r="Y991" s="57" t="s">
        <v>957</v>
      </c>
      <c r="Z991" s="57" t="s">
        <v>153</v>
      </c>
      <c r="AA991" s="12" t="b">
        <f t="shared" si="382"/>
        <v>1</v>
      </c>
      <c r="AB991" s="12" t="b">
        <f t="shared" si="383"/>
        <v>1</v>
      </c>
      <c r="AC991" s="12" t="b">
        <f t="shared" si="384"/>
        <v>1</v>
      </c>
      <c r="AD991" s="12" t="b">
        <f t="shared" si="385"/>
        <v>1</v>
      </c>
      <c r="AE991" s="12" t="b">
        <f t="shared" si="386"/>
        <v>1</v>
      </c>
      <c r="AF991" s="12" t="b">
        <f t="shared" si="387"/>
        <v>1</v>
      </c>
    </row>
    <row r="992" spans="1:32" s="12" customFormat="1" ht="15.75" customHeight="1">
      <c r="A992" s="285"/>
      <c r="B992" s="182" t="s">
        <v>607</v>
      </c>
      <c r="C992" s="36" t="s">
        <v>11</v>
      </c>
      <c r="D992" s="37" t="s">
        <v>98</v>
      </c>
      <c r="E992" s="37" t="s">
        <v>124</v>
      </c>
      <c r="F992" s="37" t="s">
        <v>604</v>
      </c>
      <c r="G992" s="37" t="s">
        <v>90</v>
      </c>
      <c r="H992" s="183">
        <f t="shared" ref="H992:J994" si="399">H993</f>
        <v>700</v>
      </c>
      <c r="I992" s="183">
        <f t="shared" si="399"/>
        <v>700</v>
      </c>
      <c r="J992" s="183">
        <f t="shared" si="399"/>
        <v>700</v>
      </c>
      <c r="K992" s="183">
        <v>700</v>
      </c>
      <c r="L992" s="183">
        <v>700</v>
      </c>
      <c r="M992" s="183">
        <v>700</v>
      </c>
      <c r="N992" s="183"/>
      <c r="O992" s="183">
        <v>700</v>
      </c>
      <c r="P992" s="183">
        <v>700</v>
      </c>
      <c r="Q992" s="183">
        <v>700</v>
      </c>
      <c r="R992" s="472">
        <f t="shared" ref="R992:R1021" si="400">H992-O992</f>
        <v>0</v>
      </c>
      <c r="S992" s="472">
        <f t="shared" ref="S992:S1021" si="401">I992-P992</f>
        <v>0</v>
      </c>
      <c r="T992" s="472">
        <f t="shared" ref="T992:T1021" si="402">J992-Q992</f>
        <v>0</v>
      </c>
      <c r="U992" s="182" t="s">
        <v>607</v>
      </c>
      <c r="V992" s="36" t="s">
        <v>11</v>
      </c>
      <c r="W992" s="37" t="s">
        <v>98</v>
      </c>
      <c r="X992" s="37" t="s">
        <v>124</v>
      </c>
      <c r="Y992" s="37" t="s">
        <v>604</v>
      </c>
      <c r="Z992" s="37" t="s">
        <v>90</v>
      </c>
      <c r="AA992" s="12" t="b">
        <f t="shared" si="382"/>
        <v>1</v>
      </c>
      <c r="AB992" s="12" t="b">
        <f t="shared" si="383"/>
        <v>1</v>
      </c>
      <c r="AC992" s="12" t="b">
        <f t="shared" si="384"/>
        <v>1</v>
      </c>
      <c r="AD992" s="12" t="b">
        <f t="shared" si="385"/>
        <v>1</v>
      </c>
      <c r="AE992" s="12" t="b">
        <f t="shared" si="386"/>
        <v>1</v>
      </c>
      <c r="AF992" s="12" t="b">
        <f t="shared" si="387"/>
        <v>1</v>
      </c>
    </row>
    <row r="993" spans="1:32" s="12" customFormat="1" ht="15.75" customHeight="1">
      <c r="A993" s="285"/>
      <c r="B993" s="182" t="s">
        <v>608</v>
      </c>
      <c r="C993" s="36" t="s">
        <v>11</v>
      </c>
      <c r="D993" s="37" t="s">
        <v>98</v>
      </c>
      <c r="E993" s="37" t="s">
        <v>124</v>
      </c>
      <c r="F993" s="37" t="s">
        <v>605</v>
      </c>
      <c r="G993" s="37" t="s">
        <v>90</v>
      </c>
      <c r="H993" s="183">
        <f t="shared" si="399"/>
        <v>700</v>
      </c>
      <c r="I993" s="183">
        <f t="shared" si="399"/>
        <v>700</v>
      </c>
      <c r="J993" s="183">
        <f t="shared" si="399"/>
        <v>700</v>
      </c>
      <c r="K993" s="183">
        <v>700</v>
      </c>
      <c r="L993" s="183">
        <v>700</v>
      </c>
      <c r="M993" s="183">
        <v>700</v>
      </c>
      <c r="N993" s="183"/>
      <c r="O993" s="183">
        <v>700</v>
      </c>
      <c r="P993" s="183">
        <v>700</v>
      </c>
      <c r="Q993" s="183">
        <v>700</v>
      </c>
      <c r="R993" s="472">
        <f t="shared" si="400"/>
        <v>0</v>
      </c>
      <c r="S993" s="472">
        <f t="shared" si="401"/>
        <v>0</v>
      </c>
      <c r="T993" s="472">
        <f t="shared" si="402"/>
        <v>0</v>
      </c>
      <c r="U993" s="182" t="s">
        <v>608</v>
      </c>
      <c r="V993" s="36" t="s">
        <v>11</v>
      </c>
      <c r="W993" s="37" t="s">
        <v>98</v>
      </c>
      <c r="X993" s="37" t="s">
        <v>124</v>
      </c>
      <c r="Y993" s="37" t="s">
        <v>605</v>
      </c>
      <c r="Z993" s="37" t="s">
        <v>90</v>
      </c>
      <c r="AA993" s="12" t="b">
        <f t="shared" si="382"/>
        <v>1</v>
      </c>
      <c r="AB993" s="12" t="b">
        <f t="shared" si="383"/>
        <v>1</v>
      </c>
      <c r="AC993" s="12" t="b">
        <f t="shared" si="384"/>
        <v>1</v>
      </c>
      <c r="AD993" s="12" t="b">
        <f t="shared" si="385"/>
        <v>1</v>
      </c>
      <c r="AE993" s="12" t="b">
        <f t="shared" si="386"/>
        <v>1</v>
      </c>
      <c r="AF993" s="12" t="b">
        <f t="shared" si="387"/>
        <v>1</v>
      </c>
    </row>
    <row r="994" spans="1:32" s="12" customFormat="1" ht="15.75" customHeight="1">
      <c r="A994" s="285"/>
      <c r="B994" s="413" t="s">
        <v>997</v>
      </c>
      <c r="C994" s="36" t="s">
        <v>11</v>
      </c>
      <c r="D994" s="37" t="s">
        <v>98</v>
      </c>
      <c r="E994" s="37" t="s">
        <v>124</v>
      </c>
      <c r="F994" s="37" t="s">
        <v>996</v>
      </c>
      <c r="G994" s="37" t="s">
        <v>90</v>
      </c>
      <c r="H994" s="183">
        <f t="shared" si="399"/>
        <v>700</v>
      </c>
      <c r="I994" s="183">
        <f t="shared" si="399"/>
        <v>700</v>
      </c>
      <c r="J994" s="183">
        <f t="shared" si="399"/>
        <v>700</v>
      </c>
      <c r="K994" s="183">
        <v>700</v>
      </c>
      <c r="L994" s="183">
        <v>700</v>
      </c>
      <c r="M994" s="183">
        <v>700</v>
      </c>
      <c r="N994" s="183"/>
      <c r="O994" s="183">
        <v>700</v>
      </c>
      <c r="P994" s="183">
        <v>700</v>
      </c>
      <c r="Q994" s="183">
        <v>700</v>
      </c>
      <c r="R994" s="472">
        <f t="shared" si="400"/>
        <v>0</v>
      </c>
      <c r="S994" s="472">
        <f t="shared" si="401"/>
        <v>0</v>
      </c>
      <c r="T994" s="472">
        <f t="shared" si="402"/>
        <v>0</v>
      </c>
      <c r="U994" s="413" t="s">
        <v>997</v>
      </c>
      <c r="V994" s="36" t="s">
        <v>11</v>
      </c>
      <c r="W994" s="37" t="s">
        <v>98</v>
      </c>
      <c r="X994" s="37" t="s">
        <v>124</v>
      </c>
      <c r="Y994" s="37" t="s">
        <v>996</v>
      </c>
      <c r="Z994" s="37" t="s">
        <v>90</v>
      </c>
      <c r="AA994" s="12" t="b">
        <f t="shared" si="382"/>
        <v>1</v>
      </c>
      <c r="AB994" s="12" t="b">
        <f t="shared" si="383"/>
        <v>1</v>
      </c>
      <c r="AC994" s="12" t="b">
        <f t="shared" si="384"/>
        <v>1</v>
      </c>
      <c r="AD994" s="12" t="b">
        <f t="shared" si="385"/>
        <v>1</v>
      </c>
      <c r="AE994" s="12" t="b">
        <f t="shared" si="386"/>
        <v>1</v>
      </c>
      <c r="AF994" s="12" t="b">
        <f t="shared" si="387"/>
        <v>1</v>
      </c>
    </row>
    <row r="995" spans="1:32" s="12" customFormat="1" ht="18.75" customHeight="1">
      <c r="A995" s="285"/>
      <c r="B995" s="182" t="s">
        <v>145</v>
      </c>
      <c r="C995" s="36" t="s">
        <v>11</v>
      </c>
      <c r="D995" s="37" t="s">
        <v>98</v>
      </c>
      <c r="E995" s="37" t="s">
        <v>124</v>
      </c>
      <c r="F995" s="37" t="s">
        <v>996</v>
      </c>
      <c r="G995" s="37" t="s">
        <v>153</v>
      </c>
      <c r="H995" s="183">
        <v>700</v>
      </c>
      <c r="I995" s="183">
        <v>700</v>
      </c>
      <c r="J995" s="183">
        <v>700</v>
      </c>
      <c r="K995" s="183">
        <v>700</v>
      </c>
      <c r="L995" s="183">
        <v>700</v>
      </c>
      <c r="M995" s="183">
        <v>700</v>
      </c>
      <c r="N995" s="183"/>
      <c r="O995" s="183">
        <v>700</v>
      </c>
      <c r="P995" s="183">
        <v>700</v>
      </c>
      <c r="Q995" s="183">
        <v>700</v>
      </c>
      <c r="R995" s="472">
        <f t="shared" si="400"/>
        <v>0</v>
      </c>
      <c r="S995" s="472">
        <f t="shared" si="401"/>
        <v>0</v>
      </c>
      <c r="T995" s="472">
        <f t="shared" si="402"/>
        <v>0</v>
      </c>
      <c r="U995" s="182" t="s">
        <v>145</v>
      </c>
      <c r="V995" s="36" t="s">
        <v>11</v>
      </c>
      <c r="W995" s="37" t="s">
        <v>98</v>
      </c>
      <c r="X995" s="37" t="s">
        <v>124</v>
      </c>
      <c r="Y995" s="37" t="s">
        <v>996</v>
      </c>
      <c r="Z995" s="37" t="s">
        <v>153</v>
      </c>
      <c r="AA995" s="12" t="b">
        <f t="shared" si="382"/>
        <v>1</v>
      </c>
      <c r="AB995" s="12" t="b">
        <f t="shared" si="383"/>
        <v>1</v>
      </c>
      <c r="AC995" s="12" t="b">
        <f t="shared" si="384"/>
        <v>1</v>
      </c>
      <c r="AD995" s="12" t="b">
        <f t="shared" si="385"/>
        <v>1</v>
      </c>
      <c r="AE995" s="12" t="b">
        <f t="shared" si="386"/>
        <v>1</v>
      </c>
      <c r="AF995" s="12" t="b">
        <f t="shared" si="387"/>
        <v>1</v>
      </c>
    </row>
    <row r="996" spans="1:32" s="12" customFormat="1" ht="15.75" customHeight="1">
      <c r="A996" s="285"/>
      <c r="B996" s="28" t="s">
        <v>67</v>
      </c>
      <c r="C996" s="29" t="s">
        <v>11</v>
      </c>
      <c r="D996" s="30" t="s">
        <v>69</v>
      </c>
      <c r="E996" s="30" t="s">
        <v>83</v>
      </c>
      <c r="F996" s="30" t="s">
        <v>223</v>
      </c>
      <c r="G996" s="30" t="s">
        <v>90</v>
      </c>
      <c r="H996" s="31">
        <f t="shared" ref="H996:J999" si="403">H997</f>
        <v>66260.509999999995</v>
      </c>
      <c r="I996" s="31">
        <f t="shared" si="403"/>
        <v>73888.350000000006</v>
      </c>
      <c r="J996" s="31">
        <f t="shared" si="403"/>
        <v>73888.77</v>
      </c>
      <c r="K996" s="31">
        <v>66260.509999999995</v>
      </c>
      <c r="L996" s="31">
        <v>73888.350000000006</v>
      </c>
      <c r="M996" s="31">
        <v>73888.77</v>
      </c>
      <c r="N996" s="31"/>
      <c r="O996" s="31">
        <v>65960.509999999995</v>
      </c>
      <c r="P996" s="31">
        <v>73888.350000000006</v>
      </c>
      <c r="Q996" s="31">
        <v>73888.77</v>
      </c>
      <c r="R996" s="472">
        <f t="shared" si="400"/>
        <v>300</v>
      </c>
      <c r="S996" s="472">
        <f t="shared" si="401"/>
        <v>0</v>
      </c>
      <c r="T996" s="472">
        <f t="shared" si="402"/>
        <v>0</v>
      </c>
      <c r="U996" s="28" t="s">
        <v>67</v>
      </c>
      <c r="V996" s="29" t="s">
        <v>11</v>
      </c>
      <c r="W996" s="30" t="s">
        <v>69</v>
      </c>
      <c r="X996" s="30" t="s">
        <v>83</v>
      </c>
      <c r="Y996" s="30" t="s">
        <v>223</v>
      </c>
      <c r="Z996" s="30" t="s">
        <v>90</v>
      </c>
      <c r="AA996" s="12" t="b">
        <f t="shared" si="382"/>
        <v>1</v>
      </c>
      <c r="AB996" s="12" t="b">
        <f t="shared" si="383"/>
        <v>1</v>
      </c>
      <c r="AC996" s="12" t="b">
        <f t="shared" si="384"/>
        <v>1</v>
      </c>
      <c r="AD996" s="12" t="b">
        <f t="shared" si="385"/>
        <v>1</v>
      </c>
      <c r="AE996" s="12" t="b">
        <f t="shared" si="386"/>
        <v>1</v>
      </c>
      <c r="AF996" s="12" t="b">
        <f t="shared" si="387"/>
        <v>1</v>
      </c>
    </row>
    <row r="997" spans="1:32" s="12" customFormat="1" ht="15.75" customHeight="1">
      <c r="A997" s="285"/>
      <c r="B997" s="32" t="s">
        <v>125</v>
      </c>
      <c r="C997" s="33" t="s">
        <v>11</v>
      </c>
      <c r="D997" s="34" t="s">
        <v>69</v>
      </c>
      <c r="E997" s="34" t="s">
        <v>33</v>
      </c>
      <c r="F997" s="34" t="s">
        <v>223</v>
      </c>
      <c r="G997" s="34" t="s">
        <v>90</v>
      </c>
      <c r="H997" s="35">
        <f t="shared" si="403"/>
        <v>66260.509999999995</v>
      </c>
      <c r="I997" s="35">
        <f t="shared" si="403"/>
        <v>73888.350000000006</v>
      </c>
      <c r="J997" s="35">
        <f t="shared" si="403"/>
        <v>73888.77</v>
      </c>
      <c r="K997" s="35">
        <v>66260.509999999995</v>
      </c>
      <c r="L997" s="35">
        <v>73888.350000000006</v>
      </c>
      <c r="M997" s="35">
        <v>73888.77</v>
      </c>
      <c r="N997" s="35"/>
      <c r="O997" s="35">
        <v>65960.509999999995</v>
      </c>
      <c r="P997" s="35">
        <v>73888.350000000006</v>
      </c>
      <c r="Q997" s="35">
        <v>73888.77</v>
      </c>
      <c r="R997" s="472">
        <f t="shared" si="400"/>
        <v>300</v>
      </c>
      <c r="S997" s="472">
        <f t="shared" si="401"/>
        <v>0</v>
      </c>
      <c r="T997" s="472">
        <f t="shared" si="402"/>
        <v>0</v>
      </c>
      <c r="U997" s="32" t="s">
        <v>125</v>
      </c>
      <c r="V997" s="33" t="s">
        <v>11</v>
      </c>
      <c r="W997" s="34" t="s">
        <v>69</v>
      </c>
      <c r="X997" s="34" t="s">
        <v>33</v>
      </c>
      <c r="Y997" s="34" t="s">
        <v>223</v>
      </c>
      <c r="Z997" s="34" t="s">
        <v>90</v>
      </c>
      <c r="AA997" s="12" t="b">
        <f t="shared" si="382"/>
        <v>1</v>
      </c>
      <c r="AB997" s="12" t="b">
        <f t="shared" si="383"/>
        <v>1</v>
      </c>
      <c r="AC997" s="12" t="b">
        <f t="shared" si="384"/>
        <v>1</v>
      </c>
      <c r="AD997" s="12" t="b">
        <f t="shared" si="385"/>
        <v>1</v>
      </c>
      <c r="AE997" s="12" t="b">
        <f t="shared" si="386"/>
        <v>1</v>
      </c>
      <c r="AF997" s="12" t="b">
        <f t="shared" si="387"/>
        <v>1</v>
      </c>
    </row>
    <row r="998" spans="1:32" s="12" customFormat="1" ht="15.75" customHeight="1">
      <c r="A998" s="285"/>
      <c r="B998" s="23" t="s">
        <v>1166</v>
      </c>
      <c r="C998" s="36" t="s">
        <v>11</v>
      </c>
      <c r="D998" s="37" t="s">
        <v>69</v>
      </c>
      <c r="E998" s="37" t="s">
        <v>33</v>
      </c>
      <c r="F998" s="37" t="s">
        <v>296</v>
      </c>
      <c r="G998" s="37" t="s">
        <v>90</v>
      </c>
      <c r="H998" s="183">
        <f t="shared" si="403"/>
        <v>66260.509999999995</v>
      </c>
      <c r="I998" s="183">
        <f t="shared" si="403"/>
        <v>73888.350000000006</v>
      </c>
      <c r="J998" s="183">
        <f t="shared" si="403"/>
        <v>73888.77</v>
      </c>
      <c r="K998" s="183">
        <v>66260.509999999995</v>
      </c>
      <c r="L998" s="183">
        <v>73888.350000000006</v>
      </c>
      <c r="M998" s="183">
        <v>73888.77</v>
      </c>
      <c r="N998" s="183"/>
      <c r="O998" s="183">
        <v>65960.509999999995</v>
      </c>
      <c r="P998" s="183">
        <v>73888.350000000006</v>
      </c>
      <c r="Q998" s="183">
        <v>73888.77</v>
      </c>
      <c r="R998" s="472">
        <f t="shared" si="400"/>
        <v>300</v>
      </c>
      <c r="S998" s="472">
        <f t="shared" si="401"/>
        <v>0</v>
      </c>
      <c r="T998" s="472">
        <f t="shared" si="402"/>
        <v>0</v>
      </c>
      <c r="U998" s="23" t="s">
        <v>1166</v>
      </c>
      <c r="V998" s="36" t="s">
        <v>11</v>
      </c>
      <c r="W998" s="37" t="s">
        <v>69</v>
      </c>
      <c r="X998" s="37" t="s">
        <v>33</v>
      </c>
      <c r="Y998" s="37" t="s">
        <v>296</v>
      </c>
      <c r="Z998" s="37" t="s">
        <v>90</v>
      </c>
      <c r="AA998" s="12" t="b">
        <f t="shared" ref="AA998:AA1059" si="404">B998=U998</f>
        <v>1</v>
      </c>
      <c r="AB998" s="12" t="b">
        <f t="shared" ref="AB998:AB1059" si="405">C998=V998</f>
        <v>1</v>
      </c>
      <c r="AC998" s="12" t="b">
        <f t="shared" ref="AC998:AC1059" si="406">D998=W998</f>
        <v>1</v>
      </c>
      <c r="AD998" s="12" t="b">
        <f t="shared" ref="AD998:AD1059" si="407">E998=X998</f>
        <v>1</v>
      </c>
      <c r="AE998" s="12" t="b">
        <f t="shared" ref="AE998:AE1059" si="408">F998=Y998</f>
        <v>1</v>
      </c>
      <c r="AF998" s="12" t="b">
        <f t="shared" ref="AF998:AF1059" si="409">G998=Z998</f>
        <v>1</v>
      </c>
    </row>
    <row r="999" spans="1:32" s="12" customFormat="1" ht="15.75" customHeight="1">
      <c r="A999" s="285"/>
      <c r="B999" s="23" t="s">
        <v>1213</v>
      </c>
      <c r="C999" s="88" t="s">
        <v>11</v>
      </c>
      <c r="D999" s="37" t="s">
        <v>69</v>
      </c>
      <c r="E999" s="37" t="s">
        <v>33</v>
      </c>
      <c r="F999" s="37" t="s">
        <v>297</v>
      </c>
      <c r="G999" s="37" t="s">
        <v>90</v>
      </c>
      <c r="H999" s="183">
        <f t="shared" si="403"/>
        <v>66260.509999999995</v>
      </c>
      <c r="I999" s="183">
        <f t="shared" si="403"/>
        <v>73888.350000000006</v>
      </c>
      <c r="J999" s="183">
        <f t="shared" si="403"/>
        <v>73888.77</v>
      </c>
      <c r="K999" s="183">
        <v>66260.509999999995</v>
      </c>
      <c r="L999" s="183">
        <v>73888.350000000006</v>
      </c>
      <c r="M999" s="183">
        <v>73888.77</v>
      </c>
      <c r="N999" s="183"/>
      <c r="O999" s="183">
        <v>65960.509999999995</v>
      </c>
      <c r="P999" s="183">
        <v>73888.350000000006</v>
      </c>
      <c r="Q999" s="183">
        <v>73888.77</v>
      </c>
      <c r="R999" s="472">
        <f t="shared" si="400"/>
        <v>300</v>
      </c>
      <c r="S999" s="472">
        <f t="shared" si="401"/>
        <v>0</v>
      </c>
      <c r="T999" s="472">
        <f t="shared" si="402"/>
        <v>0</v>
      </c>
      <c r="U999" s="494" t="s">
        <v>1213</v>
      </c>
      <c r="V999" s="88" t="s">
        <v>11</v>
      </c>
      <c r="W999" s="37" t="s">
        <v>69</v>
      </c>
      <c r="X999" s="37" t="s">
        <v>33</v>
      </c>
      <c r="Y999" s="37" t="s">
        <v>297</v>
      </c>
      <c r="Z999" s="37" t="s">
        <v>90</v>
      </c>
      <c r="AA999" s="12" t="b">
        <f t="shared" si="404"/>
        <v>1</v>
      </c>
      <c r="AB999" s="12" t="b">
        <f t="shared" si="405"/>
        <v>1</v>
      </c>
      <c r="AC999" s="12" t="b">
        <f t="shared" si="406"/>
        <v>1</v>
      </c>
      <c r="AD999" s="12" t="b">
        <f t="shared" si="407"/>
        <v>1</v>
      </c>
      <c r="AE999" s="12" t="b">
        <f t="shared" si="408"/>
        <v>1</v>
      </c>
      <c r="AF999" s="12" t="b">
        <f t="shared" si="409"/>
        <v>1</v>
      </c>
    </row>
    <row r="1000" spans="1:32" s="12" customFormat="1" ht="15.75" customHeight="1">
      <c r="A1000" s="285"/>
      <c r="B1000" s="65" t="s">
        <v>554</v>
      </c>
      <c r="C1000" s="36" t="s">
        <v>11</v>
      </c>
      <c r="D1000" s="37" t="s">
        <v>69</v>
      </c>
      <c r="E1000" s="37" t="s">
        <v>33</v>
      </c>
      <c r="F1000" s="37" t="s">
        <v>298</v>
      </c>
      <c r="G1000" s="37" t="s">
        <v>90</v>
      </c>
      <c r="H1000" s="183">
        <f>H1003+H1001</f>
        <v>66260.509999999995</v>
      </c>
      <c r="I1000" s="183">
        <f>I1003+I1001</f>
        <v>73888.350000000006</v>
      </c>
      <c r="J1000" s="183">
        <f>J1003+J1001</f>
        <v>73888.77</v>
      </c>
      <c r="K1000" s="183">
        <v>66260.509999999995</v>
      </c>
      <c r="L1000" s="183">
        <v>73888.350000000006</v>
      </c>
      <c r="M1000" s="183">
        <v>73888.77</v>
      </c>
      <c r="N1000" s="183"/>
      <c r="O1000" s="183">
        <v>65960.509999999995</v>
      </c>
      <c r="P1000" s="183">
        <v>73888.350000000006</v>
      </c>
      <c r="Q1000" s="183">
        <v>73888.77</v>
      </c>
      <c r="R1000" s="472">
        <f t="shared" si="400"/>
        <v>300</v>
      </c>
      <c r="S1000" s="472">
        <f t="shared" si="401"/>
        <v>0</v>
      </c>
      <c r="T1000" s="472">
        <f t="shared" si="402"/>
        <v>0</v>
      </c>
      <c r="U1000" s="65" t="s">
        <v>554</v>
      </c>
      <c r="V1000" s="36" t="s">
        <v>11</v>
      </c>
      <c r="W1000" s="37" t="s">
        <v>69</v>
      </c>
      <c r="X1000" s="37" t="s">
        <v>33</v>
      </c>
      <c r="Y1000" s="37" t="s">
        <v>298</v>
      </c>
      <c r="Z1000" s="37" t="s">
        <v>90</v>
      </c>
      <c r="AA1000" s="12" t="b">
        <f t="shared" si="404"/>
        <v>1</v>
      </c>
      <c r="AB1000" s="12" t="b">
        <f t="shared" si="405"/>
        <v>1</v>
      </c>
      <c r="AC1000" s="12" t="b">
        <f t="shared" si="406"/>
        <v>1</v>
      </c>
      <c r="AD1000" s="12" t="b">
        <f t="shared" si="407"/>
        <v>1</v>
      </c>
      <c r="AE1000" s="12" t="b">
        <f t="shared" si="408"/>
        <v>1</v>
      </c>
      <c r="AF1000" s="12" t="b">
        <f t="shared" si="409"/>
        <v>1</v>
      </c>
    </row>
    <row r="1001" spans="1:32" s="12" customFormat="1" ht="15.75" customHeight="1">
      <c r="A1001" s="285"/>
      <c r="B1001" s="22" t="s">
        <v>432</v>
      </c>
      <c r="C1001" s="36" t="s">
        <v>11</v>
      </c>
      <c r="D1001" s="37" t="s">
        <v>69</v>
      </c>
      <c r="E1001" s="37" t="s">
        <v>33</v>
      </c>
      <c r="F1001" s="37" t="s">
        <v>433</v>
      </c>
      <c r="G1001" s="37" t="s">
        <v>90</v>
      </c>
      <c r="H1001" s="183">
        <f>H1002</f>
        <v>2703.7999999999993</v>
      </c>
      <c r="I1001" s="183">
        <f>I1002</f>
        <v>10331.23</v>
      </c>
      <c r="J1001" s="183">
        <f>J1002</f>
        <v>10331.23</v>
      </c>
      <c r="K1001" s="183">
        <v>2703.7999999999993</v>
      </c>
      <c r="L1001" s="183">
        <v>10331.23</v>
      </c>
      <c r="M1001" s="183">
        <v>10331.23</v>
      </c>
      <c r="N1001" s="183"/>
      <c r="O1001" s="183">
        <v>2403.7999999999993</v>
      </c>
      <c r="P1001" s="183">
        <v>10331.23</v>
      </c>
      <c r="Q1001" s="183">
        <v>10331.23</v>
      </c>
      <c r="R1001" s="472">
        <f t="shared" si="400"/>
        <v>300</v>
      </c>
      <c r="S1001" s="472">
        <f t="shared" si="401"/>
        <v>0</v>
      </c>
      <c r="T1001" s="472">
        <f t="shared" si="402"/>
        <v>0</v>
      </c>
      <c r="U1001" s="22" t="s">
        <v>432</v>
      </c>
      <c r="V1001" s="36" t="s">
        <v>11</v>
      </c>
      <c r="W1001" s="37" t="s">
        <v>69</v>
      </c>
      <c r="X1001" s="37" t="s">
        <v>33</v>
      </c>
      <c r="Y1001" s="37" t="s">
        <v>433</v>
      </c>
      <c r="Z1001" s="37" t="s">
        <v>90</v>
      </c>
      <c r="AA1001" s="12" t="b">
        <f t="shared" si="404"/>
        <v>1</v>
      </c>
      <c r="AB1001" s="12" t="b">
        <f t="shared" si="405"/>
        <v>1</v>
      </c>
      <c r="AC1001" s="12" t="b">
        <f t="shared" si="406"/>
        <v>1</v>
      </c>
      <c r="AD1001" s="12" t="b">
        <f t="shared" si="407"/>
        <v>1</v>
      </c>
      <c r="AE1001" s="12" t="b">
        <f t="shared" si="408"/>
        <v>1</v>
      </c>
      <c r="AF1001" s="12" t="b">
        <f t="shared" si="409"/>
        <v>1</v>
      </c>
    </row>
    <row r="1002" spans="1:32" s="12" customFormat="1" ht="15.75" customHeight="1">
      <c r="A1002" s="285"/>
      <c r="B1002" s="182" t="s">
        <v>145</v>
      </c>
      <c r="C1002" s="36" t="s">
        <v>11</v>
      </c>
      <c r="D1002" s="37" t="s">
        <v>69</v>
      </c>
      <c r="E1002" s="37" t="s">
        <v>33</v>
      </c>
      <c r="F1002" s="37" t="s">
        <v>433</v>
      </c>
      <c r="G1002" s="37" t="s">
        <v>153</v>
      </c>
      <c r="H1002" s="183">
        <f>10331.23-7927.43+300</f>
        <v>2703.7999999999993</v>
      </c>
      <c r="I1002" s="183">
        <v>10331.23</v>
      </c>
      <c r="J1002" s="183">
        <v>10331.23</v>
      </c>
      <c r="K1002" s="183">
        <v>2703.7999999999993</v>
      </c>
      <c r="L1002" s="183">
        <v>10331.23</v>
      </c>
      <c r="M1002" s="183">
        <v>10331.23</v>
      </c>
      <c r="N1002" s="183"/>
      <c r="O1002" s="183">
        <v>2403.7999999999993</v>
      </c>
      <c r="P1002" s="183">
        <v>10331.23</v>
      </c>
      <c r="Q1002" s="183">
        <v>10331.23</v>
      </c>
      <c r="R1002" s="472">
        <f t="shared" si="400"/>
        <v>300</v>
      </c>
      <c r="S1002" s="472">
        <f t="shared" si="401"/>
        <v>0</v>
      </c>
      <c r="T1002" s="472">
        <f t="shared" si="402"/>
        <v>0</v>
      </c>
      <c r="U1002" s="182" t="s">
        <v>145</v>
      </c>
      <c r="V1002" s="36" t="s">
        <v>11</v>
      </c>
      <c r="W1002" s="37" t="s">
        <v>69</v>
      </c>
      <c r="X1002" s="37" t="s">
        <v>33</v>
      </c>
      <c r="Y1002" s="37" t="s">
        <v>433</v>
      </c>
      <c r="Z1002" s="37" t="s">
        <v>153</v>
      </c>
      <c r="AA1002" s="12" t="b">
        <f t="shared" si="404"/>
        <v>1</v>
      </c>
      <c r="AB1002" s="12" t="b">
        <f t="shared" si="405"/>
        <v>1</v>
      </c>
      <c r="AC1002" s="12" t="b">
        <f t="shared" si="406"/>
        <v>1</v>
      </c>
      <c r="AD1002" s="12" t="b">
        <f t="shared" si="407"/>
        <v>1</v>
      </c>
      <c r="AE1002" s="12" t="b">
        <f t="shared" si="408"/>
        <v>1</v>
      </c>
      <c r="AF1002" s="12" t="b">
        <f t="shared" si="409"/>
        <v>1</v>
      </c>
    </row>
    <row r="1003" spans="1:32" s="12" customFormat="1" ht="15.75" customHeight="1">
      <c r="A1003" s="285"/>
      <c r="B1003" s="182" t="s">
        <v>763</v>
      </c>
      <c r="C1003" s="36" t="s">
        <v>11</v>
      </c>
      <c r="D1003" s="37" t="s">
        <v>69</v>
      </c>
      <c r="E1003" s="37" t="s">
        <v>33</v>
      </c>
      <c r="F1003" s="37" t="s">
        <v>771</v>
      </c>
      <c r="G1003" s="37" t="s">
        <v>90</v>
      </c>
      <c r="H1003" s="183">
        <f>H1004</f>
        <v>63556.71</v>
      </c>
      <c r="I1003" s="183">
        <f>I1004</f>
        <v>63557.120000000003</v>
      </c>
      <c r="J1003" s="183">
        <f>J1004</f>
        <v>63557.54</v>
      </c>
      <c r="K1003" s="183">
        <v>63556.71</v>
      </c>
      <c r="L1003" s="183">
        <v>63557.120000000003</v>
      </c>
      <c r="M1003" s="183">
        <v>63557.54</v>
      </c>
      <c r="N1003" s="183"/>
      <c r="O1003" s="183">
        <v>63556.71</v>
      </c>
      <c r="P1003" s="183">
        <v>63557.120000000003</v>
      </c>
      <c r="Q1003" s="183">
        <v>63557.54</v>
      </c>
      <c r="R1003" s="472">
        <f t="shared" si="400"/>
        <v>0</v>
      </c>
      <c r="S1003" s="472">
        <f t="shared" si="401"/>
        <v>0</v>
      </c>
      <c r="T1003" s="472">
        <f t="shared" si="402"/>
        <v>0</v>
      </c>
      <c r="U1003" s="182" t="s">
        <v>763</v>
      </c>
      <c r="V1003" s="36" t="s">
        <v>11</v>
      </c>
      <c r="W1003" s="37" t="s">
        <v>69</v>
      </c>
      <c r="X1003" s="37" t="s">
        <v>33</v>
      </c>
      <c r="Y1003" s="37" t="s">
        <v>771</v>
      </c>
      <c r="Z1003" s="37" t="s">
        <v>90</v>
      </c>
      <c r="AA1003" s="12" t="b">
        <f t="shared" si="404"/>
        <v>1</v>
      </c>
      <c r="AB1003" s="12" t="b">
        <f t="shared" si="405"/>
        <v>1</v>
      </c>
      <c r="AC1003" s="12" t="b">
        <f t="shared" si="406"/>
        <v>1</v>
      </c>
      <c r="AD1003" s="12" t="b">
        <f t="shared" si="407"/>
        <v>1</v>
      </c>
      <c r="AE1003" s="12" t="b">
        <f t="shared" si="408"/>
        <v>1</v>
      </c>
      <c r="AF1003" s="12" t="b">
        <f t="shared" si="409"/>
        <v>1</v>
      </c>
    </row>
    <row r="1004" spans="1:32" s="12" customFormat="1" ht="15.75" customHeight="1">
      <c r="A1004" s="285"/>
      <c r="B1004" s="182" t="s">
        <v>145</v>
      </c>
      <c r="C1004" s="36" t="s">
        <v>11</v>
      </c>
      <c r="D1004" s="37" t="s">
        <v>69</v>
      </c>
      <c r="E1004" s="37" t="s">
        <v>33</v>
      </c>
      <c r="F1004" s="37" t="s">
        <v>771</v>
      </c>
      <c r="G1004" s="37" t="s">
        <v>153</v>
      </c>
      <c r="H1004" s="183">
        <f>64739.37-1182.86+0.2</f>
        <v>63556.71</v>
      </c>
      <c r="I1004" s="183">
        <f>64739.37-1182.86+0.61</f>
        <v>63557.120000000003</v>
      </c>
      <c r="J1004" s="183">
        <f>64739.37-1182.86+0.61+0.42</f>
        <v>63557.54</v>
      </c>
      <c r="K1004" s="183">
        <v>63556.71</v>
      </c>
      <c r="L1004" s="183">
        <v>63557.120000000003</v>
      </c>
      <c r="M1004" s="183">
        <v>63557.54</v>
      </c>
      <c r="N1004" s="183"/>
      <c r="O1004" s="183">
        <v>63556.71</v>
      </c>
      <c r="P1004" s="183">
        <v>63557.120000000003</v>
      </c>
      <c r="Q1004" s="183">
        <v>63557.54</v>
      </c>
      <c r="R1004" s="472">
        <f t="shared" si="400"/>
        <v>0</v>
      </c>
      <c r="S1004" s="472">
        <f t="shared" si="401"/>
        <v>0</v>
      </c>
      <c r="T1004" s="472">
        <f t="shared" si="402"/>
        <v>0</v>
      </c>
      <c r="U1004" s="182" t="s">
        <v>145</v>
      </c>
      <c r="V1004" s="36" t="s">
        <v>11</v>
      </c>
      <c r="W1004" s="37" t="s">
        <v>69</v>
      </c>
      <c r="X1004" s="37" t="s">
        <v>33</v>
      </c>
      <c r="Y1004" s="37" t="s">
        <v>771</v>
      </c>
      <c r="Z1004" s="37" t="s">
        <v>153</v>
      </c>
      <c r="AA1004" s="12" t="b">
        <f t="shared" si="404"/>
        <v>1</v>
      </c>
      <c r="AB1004" s="12" t="b">
        <f t="shared" si="405"/>
        <v>1</v>
      </c>
      <c r="AC1004" s="12" t="b">
        <f t="shared" si="406"/>
        <v>1</v>
      </c>
      <c r="AD1004" s="12" t="b">
        <f t="shared" si="407"/>
        <v>1</v>
      </c>
      <c r="AE1004" s="12" t="b">
        <f t="shared" si="408"/>
        <v>1</v>
      </c>
      <c r="AF1004" s="12" t="b">
        <f t="shared" si="409"/>
        <v>1</v>
      </c>
    </row>
    <row r="1005" spans="1:32" s="12" customFormat="1" ht="15.75" customHeight="1">
      <c r="A1005" s="285"/>
      <c r="B1005" s="28" t="s">
        <v>6</v>
      </c>
      <c r="C1005" s="29" t="s">
        <v>11</v>
      </c>
      <c r="D1005" s="30" t="s">
        <v>7</v>
      </c>
      <c r="E1005" s="30" t="s">
        <v>83</v>
      </c>
      <c r="F1005" s="30" t="s">
        <v>223</v>
      </c>
      <c r="G1005" s="30" t="s">
        <v>90</v>
      </c>
      <c r="H1005" s="31">
        <f>H1006+H1012</f>
        <v>41436.730000000003</v>
      </c>
      <c r="I1005" s="31">
        <f>I1006+I1012</f>
        <v>42418.62</v>
      </c>
      <c r="J1005" s="31">
        <f>J1006+J1012</f>
        <v>42506.54</v>
      </c>
      <c r="K1005" s="31">
        <v>41436.730000000003</v>
      </c>
      <c r="L1005" s="31">
        <v>42418.62</v>
      </c>
      <c r="M1005" s="31">
        <v>42506.54</v>
      </c>
      <c r="N1005" s="31"/>
      <c r="O1005" s="31">
        <v>41436.730000000003</v>
      </c>
      <c r="P1005" s="31">
        <v>42418.62</v>
      </c>
      <c r="Q1005" s="31">
        <v>42506.54</v>
      </c>
      <c r="R1005" s="472">
        <f t="shared" si="400"/>
        <v>0</v>
      </c>
      <c r="S1005" s="472">
        <f t="shared" si="401"/>
        <v>0</v>
      </c>
      <c r="T1005" s="472">
        <f t="shared" si="402"/>
        <v>0</v>
      </c>
      <c r="U1005" s="28" t="s">
        <v>6</v>
      </c>
      <c r="V1005" s="29" t="s">
        <v>11</v>
      </c>
      <c r="W1005" s="30" t="s">
        <v>7</v>
      </c>
      <c r="X1005" s="30" t="s">
        <v>83</v>
      </c>
      <c r="Y1005" s="30" t="s">
        <v>223</v>
      </c>
      <c r="Z1005" s="30" t="s">
        <v>90</v>
      </c>
      <c r="AA1005" s="12" t="b">
        <f t="shared" si="404"/>
        <v>1</v>
      </c>
      <c r="AB1005" s="12" t="b">
        <f t="shared" si="405"/>
        <v>1</v>
      </c>
      <c r="AC1005" s="12" t="b">
        <f t="shared" si="406"/>
        <v>1</v>
      </c>
      <c r="AD1005" s="12" t="b">
        <f t="shared" si="407"/>
        <v>1</v>
      </c>
      <c r="AE1005" s="12" t="b">
        <f t="shared" si="408"/>
        <v>1</v>
      </c>
      <c r="AF1005" s="12" t="b">
        <f t="shared" si="409"/>
        <v>1</v>
      </c>
    </row>
    <row r="1006" spans="1:32" s="12" customFormat="1" ht="15.75" customHeight="1">
      <c r="A1006" s="285"/>
      <c r="B1006" s="32" t="s">
        <v>8</v>
      </c>
      <c r="C1006" s="33" t="s">
        <v>11</v>
      </c>
      <c r="D1006" s="34" t="s">
        <v>7</v>
      </c>
      <c r="E1006" s="34" t="s">
        <v>98</v>
      </c>
      <c r="F1006" s="34" t="s">
        <v>223</v>
      </c>
      <c r="G1006" s="34" t="s">
        <v>90</v>
      </c>
      <c r="H1006" s="35">
        <f t="shared" ref="H1006:J1007" si="410">H1007</f>
        <v>941.21999999999991</v>
      </c>
      <c r="I1006" s="35">
        <f t="shared" si="410"/>
        <v>941.21999999999991</v>
      </c>
      <c r="J1006" s="35">
        <f t="shared" si="410"/>
        <v>941.21999999999991</v>
      </c>
      <c r="K1006" s="35">
        <v>941.21999999999991</v>
      </c>
      <c r="L1006" s="35">
        <v>941.21999999999991</v>
      </c>
      <c r="M1006" s="35">
        <v>941.21999999999991</v>
      </c>
      <c r="N1006" s="35"/>
      <c r="O1006" s="35">
        <v>941.21999999999991</v>
      </c>
      <c r="P1006" s="35">
        <v>941.21999999999991</v>
      </c>
      <c r="Q1006" s="35">
        <v>941.21999999999991</v>
      </c>
      <c r="R1006" s="472">
        <f t="shared" si="400"/>
        <v>0</v>
      </c>
      <c r="S1006" s="472">
        <f t="shared" si="401"/>
        <v>0</v>
      </c>
      <c r="T1006" s="472">
        <f t="shared" si="402"/>
        <v>0</v>
      </c>
      <c r="U1006" s="32" t="s">
        <v>8</v>
      </c>
      <c r="V1006" s="33" t="s">
        <v>11</v>
      </c>
      <c r="W1006" s="34" t="s">
        <v>7</v>
      </c>
      <c r="X1006" s="34" t="s">
        <v>98</v>
      </c>
      <c r="Y1006" s="34" t="s">
        <v>223</v>
      </c>
      <c r="Z1006" s="34" t="s">
        <v>90</v>
      </c>
      <c r="AA1006" s="12" t="b">
        <f t="shared" si="404"/>
        <v>1</v>
      </c>
      <c r="AB1006" s="12" t="b">
        <f t="shared" si="405"/>
        <v>1</v>
      </c>
      <c r="AC1006" s="12" t="b">
        <f t="shared" si="406"/>
        <v>1</v>
      </c>
      <c r="AD1006" s="12" t="b">
        <f t="shared" si="407"/>
        <v>1</v>
      </c>
      <c r="AE1006" s="12" t="b">
        <f t="shared" si="408"/>
        <v>1</v>
      </c>
      <c r="AF1006" s="12" t="b">
        <f t="shared" si="409"/>
        <v>1</v>
      </c>
    </row>
    <row r="1007" spans="1:32" s="12" customFormat="1" ht="15.75" customHeight="1">
      <c r="A1007" s="285"/>
      <c r="B1007" s="23" t="s">
        <v>1166</v>
      </c>
      <c r="C1007" s="36" t="s">
        <v>11</v>
      </c>
      <c r="D1007" s="37" t="s">
        <v>7</v>
      </c>
      <c r="E1007" s="37" t="s">
        <v>98</v>
      </c>
      <c r="F1007" s="37" t="s">
        <v>296</v>
      </c>
      <c r="G1007" s="37" t="s">
        <v>90</v>
      </c>
      <c r="H1007" s="183">
        <f t="shared" si="410"/>
        <v>941.21999999999991</v>
      </c>
      <c r="I1007" s="183">
        <f t="shared" si="410"/>
        <v>941.21999999999991</v>
      </c>
      <c r="J1007" s="183">
        <f t="shared" si="410"/>
        <v>941.21999999999991</v>
      </c>
      <c r="K1007" s="183">
        <v>941.21999999999991</v>
      </c>
      <c r="L1007" s="183">
        <v>941.21999999999991</v>
      </c>
      <c r="M1007" s="183">
        <v>941.21999999999991</v>
      </c>
      <c r="N1007" s="183"/>
      <c r="O1007" s="183">
        <v>941.21999999999991</v>
      </c>
      <c r="P1007" s="183">
        <v>941.21999999999991</v>
      </c>
      <c r="Q1007" s="183">
        <v>941.21999999999991</v>
      </c>
      <c r="R1007" s="472">
        <f t="shared" si="400"/>
        <v>0</v>
      </c>
      <c r="S1007" s="472">
        <f t="shared" si="401"/>
        <v>0</v>
      </c>
      <c r="T1007" s="472">
        <f t="shared" si="402"/>
        <v>0</v>
      </c>
      <c r="U1007" s="23" t="s">
        <v>1166</v>
      </c>
      <c r="V1007" s="36" t="s">
        <v>11</v>
      </c>
      <c r="W1007" s="37" t="s">
        <v>7</v>
      </c>
      <c r="X1007" s="37" t="s">
        <v>98</v>
      </c>
      <c r="Y1007" s="37" t="s">
        <v>296</v>
      </c>
      <c r="Z1007" s="37" t="s">
        <v>90</v>
      </c>
      <c r="AA1007" s="12" t="b">
        <f t="shared" si="404"/>
        <v>1</v>
      </c>
      <c r="AB1007" s="12" t="b">
        <f t="shared" si="405"/>
        <v>1</v>
      </c>
      <c r="AC1007" s="12" t="b">
        <f t="shared" si="406"/>
        <v>1</v>
      </c>
      <c r="AD1007" s="12" t="b">
        <f t="shared" si="407"/>
        <v>1</v>
      </c>
      <c r="AE1007" s="12" t="b">
        <f t="shared" si="408"/>
        <v>1</v>
      </c>
      <c r="AF1007" s="12" t="b">
        <f t="shared" si="409"/>
        <v>1</v>
      </c>
    </row>
    <row r="1008" spans="1:32" s="12" customFormat="1" ht="15.75" customHeight="1">
      <c r="A1008" s="285"/>
      <c r="B1008" s="182" t="s">
        <v>185</v>
      </c>
      <c r="C1008" s="36" t="s">
        <v>11</v>
      </c>
      <c r="D1008" s="37" t="s">
        <v>7</v>
      </c>
      <c r="E1008" s="37" t="s">
        <v>98</v>
      </c>
      <c r="F1008" s="37" t="s">
        <v>434</v>
      </c>
      <c r="G1008" s="37" t="s">
        <v>90</v>
      </c>
      <c r="H1008" s="183">
        <f>H1011</f>
        <v>941.21999999999991</v>
      </c>
      <c r="I1008" s="183">
        <f>I1011</f>
        <v>941.21999999999991</v>
      </c>
      <c r="J1008" s="183">
        <f>J1011</f>
        <v>941.21999999999991</v>
      </c>
      <c r="K1008" s="183">
        <v>941.21999999999991</v>
      </c>
      <c r="L1008" s="183">
        <v>941.21999999999991</v>
      </c>
      <c r="M1008" s="183">
        <v>941.21999999999991</v>
      </c>
      <c r="N1008" s="183"/>
      <c r="O1008" s="183">
        <v>941.21999999999991</v>
      </c>
      <c r="P1008" s="183">
        <v>941.21999999999991</v>
      </c>
      <c r="Q1008" s="183">
        <v>941.21999999999991</v>
      </c>
      <c r="R1008" s="472">
        <f t="shared" si="400"/>
        <v>0</v>
      </c>
      <c r="S1008" s="472">
        <f t="shared" si="401"/>
        <v>0</v>
      </c>
      <c r="T1008" s="472">
        <f t="shared" si="402"/>
        <v>0</v>
      </c>
      <c r="U1008" s="182" t="s">
        <v>185</v>
      </c>
      <c r="V1008" s="36" t="s">
        <v>11</v>
      </c>
      <c r="W1008" s="37" t="s">
        <v>7</v>
      </c>
      <c r="X1008" s="37" t="s">
        <v>98</v>
      </c>
      <c r="Y1008" s="37" t="s">
        <v>434</v>
      </c>
      <c r="Z1008" s="37" t="s">
        <v>90</v>
      </c>
      <c r="AA1008" s="12" t="b">
        <f t="shared" si="404"/>
        <v>1</v>
      </c>
      <c r="AB1008" s="12" t="b">
        <f t="shared" si="405"/>
        <v>1</v>
      </c>
      <c r="AC1008" s="12" t="b">
        <f t="shared" si="406"/>
        <v>1</v>
      </c>
      <c r="AD1008" s="12" t="b">
        <f t="shared" si="407"/>
        <v>1</v>
      </c>
      <c r="AE1008" s="12" t="b">
        <f t="shared" si="408"/>
        <v>1</v>
      </c>
      <c r="AF1008" s="12" t="b">
        <f t="shared" si="409"/>
        <v>1</v>
      </c>
    </row>
    <row r="1009" spans="1:32" s="12" customFormat="1" ht="15.75" customHeight="1">
      <c r="A1009" s="285"/>
      <c r="B1009" s="65" t="s">
        <v>453</v>
      </c>
      <c r="C1009" s="56" t="s">
        <v>11</v>
      </c>
      <c r="D1009" s="57" t="s">
        <v>7</v>
      </c>
      <c r="E1009" s="57" t="s">
        <v>98</v>
      </c>
      <c r="F1009" s="57" t="s">
        <v>436</v>
      </c>
      <c r="G1009" s="57" t="s">
        <v>90</v>
      </c>
      <c r="H1009" s="58">
        <f t="shared" ref="H1009:J1010" si="411">H1010</f>
        <v>941.21999999999991</v>
      </c>
      <c r="I1009" s="58">
        <f t="shared" si="411"/>
        <v>941.21999999999991</v>
      </c>
      <c r="J1009" s="58">
        <f t="shared" si="411"/>
        <v>941.21999999999991</v>
      </c>
      <c r="K1009" s="58">
        <v>941.21999999999991</v>
      </c>
      <c r="L1009" s="58">
        <v>941.21999999999991</v>
      </c>
      <c r="M1009" s="58">
        <v>941.21999999999991</v>
      </c>
      <c r="N1009" s="58"/>
      <c r="O1009" s="58">
        <v>941.21999999999991</v>
      </c>
      <c r="P1009" s="58">
        <v>941.21999999999991</v>
      </c>
      <c r="Q1009" s="58">
        <v>941.21999999999991</v>
      </c>
      <c r="R1009" s="472">
        <f t="shared" si="400"/>
        <v>0</v>
      </c>
      <c r="S1009" s="472">
        <f t="shared" si="401"/>
        <v>0</v>
      </c>
      <c r="T1009" s="472">
        <f t="shared" si="402"/>
        <v>0</v>
      </c>
      <c r="U1009" s="65" t="s">
        <v>453</v>
      </c>
      <c r="V1009" s="56" t="s">
        <v>11</v>
      </c>
      <c r="W1009" s="57" t="s">
        <v>7</v>
      </c>
      <c r="X1009" s="57" t="s">
        <v>98</v>
      </c>
      <c r="Y1009" s="57" t="s">
        <v>436</v>
      </c>
      <c r="Z1009" s="57" t="s">
        <v>90</v>
      </c>
      <c r="AA1009" s="12" t="b">
        <f t="shared" si="404"/>
        <v>1</v>
      </c>
      <c r="AB1009" s="12" t="b">
        <f t="shared" si="405"/>
        <v>1</v>
      </c>
      <c r="AC1009" s="12" t="b">
        <f t="shared" si="406"/>
        <v>1</v>
      </c>
      <c r="AD1009" s="12" t="b">
        <f t="shared" si="407"/>
        <v>1</v>
      </c>
      <c r="AE1009" s="12" t="b">
        <f t="shared" si="408"/>
        <v>1</v>
      </c>
      <c r="AF1009" s="12" t="b">
        <f t="shared" si="409"/>
        <v>1</v>
      </c>
    </row>
    <row r="1010" spans="1:32" s="12" customFormat="1" ht="15.75" customHeight="1">
      <c r="A1010" s="285"/>
      <c r="B1010" s="22" t="s">
        <v>178</v>
      </c>
      <c r="C1010" s="36" t="s">
        <v>11</v>
      </c>
      <c r="D1010" s="37" t="s">
        <v>7</v>
      </c>
      <c r="E1010" s="37" t="s">
        <v>98</v>
      </c>
      <c r="F1010" s="37" t="s">
        <v>437</v>
      </c>
      <c r="G1010" s="37" t="s">
        <v>90</v>
      </c>
      <c r="H1010" s="183">
        <f t="shared" si="411"/>
        <v>941.21999999999991</v>
      </c>
      <c r="I1010" s="183">
        <f t="shared" si="411"/>
        <v>941.21999999999991</v>
      </c>
      <c r="J1010" s="183">
        <f t="shared" si="411"/>
        <v>941.21999999999991</v>
      </c>
      <c r="K1010" s="183">
        <v>941.21999999999991</v>
      </c>
      <c r="L1010" s="183">
        <v>941.21999999999991</v>
      </c>
      <c r="M1010" s="183">
        <v>941.21999999999991</v>
      </c>
      <c r="N1010" s="183"/>
      <c r="O1010" s="183">
        <v>941.21999999999991</v>
      </c>
      <c r="P1010" s="183">
        <v>941.21999999999991</v>
      </c>
      <c r="Q1010" s="183">
        <v>941.21999999999991</v>
      </c>
      <c r="R1010" s="472">
        <f t="shared" si="400"/>
        <v>0</v>
      </c>
      <c r="S1010" s="472">
        <f t="shared" si="401"/>
        <v>0</v>
      </c>
      <c r="T1010" s="472">
        <f t="shared" si="402"/>
        <v>0</v>
      </c>
      <c r="U1010" s="22" t="s">
        <v>178</v>
      </c>
      <c r="V1010" s="36" t="s">
        <v>11</v>
      </c>
      <c r="W1010" s="37" t="s">
        <v>7</v>
      </c>
      <c r="X1010" s="37" t="s">
        <v>98</v>
      </c>
      <c r="Y1010" s="37" t="s">
        <v>437</v>
      </c>
      <c r="Z1010" s="37" t="s">
        <v>90</v>
      </c>
      <c r="AA1010" s="12" t="b">
        <f t="shared" si="404"/>
        <v>1</v>
      </c>
      <c r="AB1010" s="12" t="b">
        <f t="shared" si="405"/>
        <v>1</v>
      </c>
      <c r="AC1010" s="12" t="b">
        <f t="shared" si="406"/>
        <v>1</v>
      </c>
      <c r="AD1010" s="12" t="b">
        <f t="shared" si="407"/>
        <v>1</v>
      </c>
      <c r="AE1010" s="12" t="b">
        <f t="shared" si="408"/>
        <v>1</v>
      </c>
      <c r="AF1010" s="12" t="b">
        <f t="shared" si="409"/>
        <v>1</v>
      </c>
    </row>
    <row r="1011" spans="1:32" s="12" customFormat="1" ht="15.75" customHeight="1">
      <c r="A1011" s="285"/>
      <c r="B1011" s="54" t="s">
        <v>145</v>
      </c>
      <c r="C1011" s="56" t="s">
        <v>11</v>
      </c>
      <c r="D1011" s="57" t="s">
        <v>7</v>
      </c>
      <c r="E1011" s="57" t="s">
        <v>98</v>
      </c>
      <c r="F1011" s="57" t="s">
        <v>437</v>
      </c>
      <c r="G1011" s="57" t="s">
        <v>153</v>
      </c>
      <c r="H1011" s="183">
        <f>1167.08-255.25-0.01+29.4</f>
        <v>941.21999999999991</v>
      </c>
      <c r="I1011" s="183">
        <f t="shared" ref="I1011:J1011" si="412">1167.08-255.25-0.01+29.4</f>
        <v>941.21999999999991</v>
      </c>
      <c r="J1011" s="183">
        <f t="shared" si="412"/>
        <v>941.21999999999991</v>
      </c>
      <c r="K1011" s="183">
        <v>941.21999999999991</v>
      </c>
      <c r="L1011" s="183">
        <v>941.21999999999991</v>
      </c>
      <c r="M1011" s="183">
        <v>941.21999999999991</v>
      </c>
      <c r="N1011" s="183"/>
      <c r="O1011" s="58">
        <v>941.21999999999991</v>
      </c>
      <c r="P1011" s="58">
        <v>941.21999999999991</v>
      </c>
      <c r="Q1011" s="58">
        <v>941.21999999999991</v>
      </c>
      <c r="R1011" s="472">
        <f t="shared" si="400"/>
        <v>0</v>
      </c>
      <c r="S1011" s="472">
        <f t="shared" si="401"/>
        <v>0</v>
      </c>
      <c r="T1011" s="472">
        <f t="shared" si="402"/>
        <v>0</v>
      </c>
      <c r="U1011" s="54" t="s">
        <v>145</v>
      </c>
      <c r="V1011" s="56" t="s">
        <v>11</v>
      </c>
      <c r="W1011" s="57" t="s">
        <v>7</v>
      </c>
      <c r="X1011" s="57" t="s">
        <v>98</v>
      </c>
      <c r="Y1011" s="57" t="s">
        <v>437</v>
      </c>
      <c r="Z1011" s="57" t="s">
        <v>153</v>
      </c>
      <c r="AA1011" s="12" t="b">
        <f t="shared" si="404"/>
        <v>1</v>
      </c>
      <c r="AB1011" s="12" t="b">
        <f t="shared" si="405"/>
        <v>1</v>
      </c>
      <c r="AC1011" s="12" t="b">
        <f t="shared" si="406"/>
        <v>1</v>
      </c>
      <c r="AD1011" s="12" t="b">
        <f t="shared" si="407"/>
        <v>1</v>
      </c>
      <c r="AE1011" s="12" t="b">
        <f t="shared" si="408"/>
        <v>1</v>
      </c>
      <c r="AF1011" s="12" t="b">
        <f t="shared" si="409"/>
        <v>1</v>
      </c>
    </row>
    <row r="1012" spans="1:32" s="12" customFormat="1" ht="15.75" customHeight="1">
      <c r="A1012" s="285"/>
      <c r="B1012" s="32" t="s">
        <v>1</v>
      </c>
      <c r="C1012" s="33" t="s">
        <v>11</v>
      </c>
      <c r="D1012" s="34" t="s">
        <v>7</v>
      </c>
      <c r="E1012" s="34" t="s">
        <v>85</v>
      </c>
      <c r="F1012" s="34" t="s">
        <v>223</v>
      </c>
      <c r="G1012" s="34" t="s">
        <v>90</v>
      </c>
      <c r="H1012" s="35">
        <f>H1013</f>
        <v>40495.51</v>
      </c>
      <c r="I1012" s="35">
        <f>I1013</f>
        <v>41477.4</v>
      </c>
      <c r="J1012" s="35">
        <f>J1013</f>
        <v>41565.32</v>
      </c>
      <c r="K1012" s="35">
        <v>40495.51</v>
      </c>
      <c r="L1012" s="35">
        <v>41477.4</v>
      </c>
      <c r="M1012" s="35">
        <v>41565.32</v>
      </c>
      <c r="N1012" s="35"/>
      <c r="O1012" s="35">
        <v>40495.51</v>
      </c>
      <c r="P1012" s="35">
        <v>41477.4</v>
      </c>
      <c r="Q1012" s="35">
        <v>41565.32</v>
      </c>
      <c r="R1012" s="472">
        <f t="shared" si="400"/>
        <v>0</v>
      </c>
      <c r="S1012" s="472">
        <f t="shared" si="401"/>
        <v>0</v>
      </c>
      <c r="T1012" s="472">
        <f t="shared" si="402"/>
        <v>0</v>
      </c>
      <c r="U1012" s="32" t="s">
        <v>1</v>
      </c>
      <c r="V1012" s="33" t="s">
        <v>11</v>
      </c>
      <c r="W1012" s="34" t="s">
        <v>7</v>
      </c>
      <c r="X1012" s="34" t="s">
        <v>85</v>
      </c>
      <c r="Y1012" s="34" t="s">
        <v>223</v>
      </c>
      <c r="Z1012" s="34" t="s">
        <v>90</v>
      </c>
      <c r="AA1012" s="12" t="b">
        <f t="shared" si="404"/>
        <v>1</v>
      </c>
      <c r="AB1012" s="12" t="b">
        <f t="shared" si="405"/>
        <v>1</v>
      </c>
      <c r="AC1012" s="12" t="b">
        <f t="shared" si="406"/>
        <v>1</v>
      </c>
      <c r="AD1012" s="12" t="b">
        <f t="shared" si="407"/>
        <v>1</v>
      </c>
      <c r="AE1012" s="12" t="b">
        <f t="shared" si="408"/>
        <v>1</v>
      </c>
      <c r="AF1012" s="12" t="b">
        <f t="shared" si="409"/>
        <v>1</v>
      </c>
    </row>
    <row r="1013" spans="1:32" s="12" customFormat="1" ht="15.75" customHeight="1">
      <c r="A1013" s="285"/>
      <c r="B1013" s="23" t="s">
        <v>1166</v>
      </c>
      <c r="C1013" s="36" t="s">
        <v>11</v>
      </c>
      <c r="D1013" s="37" t="s">
        <v>7</v>
      </c>
      <c r="E1013" s="37" t="s">
        <v>85</v>
      </c>
      <c r="F1013" s="37" t="s">
        <v>296</v>
      </c>
      <c r="G1013" s="37" t="s">
        <v>90</v>
      </c>
      <c r="H1013" s="183">
        <f t="shared" ref="H1013:J1014" si="413">H1014</f>
        <v>40495.51</v>
      </c>
      <c r="I1013" s="183">
        <f t="shared" si="413"/>
        <v>41477.4</v>
      </c>
      <c r="J1013" s="183">
        <f t="shared" si="413"/>
        <v>41565.32</v>
      </c>
      <c r="K1013" s="183">
        <v>40495.51</v>
      </c>
      <c r="L1013" s="183">
        <v>41477.4</v>
      </c>
      <c r="M1013" s="183">
        <v>41565.32</v>
      </c>
      <c r="N1013" s="183"/>
      <c r="O1013" s="183">
        <v>40495.51</v>
      </c>
      <c r="P1013" s="183">
        <v>41477.4</v>
      </c>
      <c r="Q1013" s="183">
        <v>41565.32</v>
      </c>
      <c r="R1013" s="472">
        <f t="shared" si="400"/>
        <v>0</v>
      </c>
      <c r="S1013" s="472">
        <f t="shared" si="401"/>
        <v>0</v>
      </c>
      <c r="T1013" s="472">
        <f t="shared" si="402"/>
        <v>0</v>
      </c>
      <c r="U1013" s="23" t="s">
        <v>1166</v>
      </c>
      <c r="V1013" s="36" t="s">
        <v>11</v>
      </c>
      <c r="W1013" s="37" t="s">
        <v>7</v>
      </c>
      <c r="X1013" s="37" t="s">
        <v>85</v>
      </c>
      <c r="Y1013" s="37" t="s">
        <v>296</v>
      </c>
      <c r="Z1013" s="37" t="s">
        <v>90</v>
      </c>
      <c r="AA1013" s="12" t="b">
        <f t="shared" si="404"/>
        <v>1</v>
      </c>
      <c r="AB1013" s="12" t="b">
        <f t="shared" si="405"/>
        <v>1</v>
      </c>
      <c r="AC1013" s="12" t="b">
        <f t="shared" si="406"/>
        <v>1</v>
      </c>
      <c r="AD1013" s="12" t="b">
        <f t="shared" si="407"/>
        <v>1</v>
      </c>
      <c r="AE1013" s="12" t="b">
        <f t="shared" si="408"/>
        <v>1</v>
      </c>
      <c r="AF1013" s="12" t="b">
        <f t="shared" si="409"/>
        <v>1</v>
      </c>
    </row>
    <row r="1014" spans="1:32" s="12" customFormat="1" ht="15.75" customHeight="1">
      <c r="A1014" s="285"/>
      <c r="B1014" s="182" t="s">
        <v>836</v>
      </c>
      <c r="C1014" s="36" t="s">
        <v>11</v>
      </c>
      <c r="D1014" s="37" t="s">
        <v>7</v>
      </c>
      <c r="E1014" s="37" t="s">
        <v>85</v>
      </c>
      <c r="F1014" s="37" t="s">
        <v>404</v>
      </c>
      <c r="G1014" s="37" t="s">
        <v>90</v>
      </c>
      <c r="H1014" s="183">
        <f t="shared" si="413"/>
        <v>40495.51</v>
      </c>
      <c r="I1014" s="183">
        <f t="shared" si="413"/>
        <v>41477.4</v>
      </c>
      <c r="J1014" s="183">
        <f t="shared" si="413"/>
        <v>41565.32</v>
      </c>
      <c r="K1014" s="183">
        <v>40495.51</v>
      </c>
      <c r="L1014" s="183">
        <v>41477.4</v>
      </c>
      <c r="M1014" s="183">
        <v>41565.32</v>
      </c>
      <c r="N1014" s="183"/>
      <c r="O1014" s="183">
        <v>40495.51</v>
      </c>
      <c r="P1014" s="183">
        <v>41477.4</v>
      </c>
      <c r="Q1014" s="183">
        <v>41565.32</v>
      </c>
      <c r="R1014" s="472">
        <f t="shared" si="400"/>
        <v>0</v>
      </c>
      <c r="S1014" s="472">
        <f t="shared" si="401"/>
        <v>0</v>
      </c>
      <c r="T1014" s="472">
        <f t="shared" si="402"/>
        <v>0</v>
      </c>
      <c r="U1014" s="182" t="s">
        <v>836</v>
      </c>
      <c r="V1014" s="36" t="s">
        <v>11</v>
      </c>
      <c r="W1014" s="37" t="s">
        <v>7</v>
      </c>
      <c r="X1014" s="37" t="s">
        <v>85</v>
      </c>
      <c r="Y1014" s="37" t="s">
        <v>404</v>
      </c>
      <c r="Z1014" s="37" t="s">
        <v>90</v>
      </c>
      <c r="AA1014" s="12" t="b">
        <f t="shared" si="404"/>
        <v>1</v>
      </c>
      <c r="AB1014" s="12" t="b">
        <f t="shared" si="405"/>
        <v>1</v>
      </c>
      <c r="AC1014" s="12" t="b">
        <f t="shared" si="406"/>
        <v>1</v>
      </c>
      <c r="AD1014" s="12" t="b">
        <f t="shared" si="407"/>
        <v>1</v>
      </c>
      <c r="AE1014" s="12" t="b">
        <f t="shared" si="408"/>
        <v>1</v>
      </c>
      <c r="AF1014" s="12" t="b">
        <f t="shared" si="409"/>
        <v>1</v>
      </c>
    </row>
    <row r="1015" spans="1:32" s="12" customFormat="1" ht="15.75" customHeight="1">
      <c r="A1015" s="285"/>
      <c r="B1015" s="178" t="s">
        <v>405</v>
      </c>
      <c r="C1015" s="56" t="s">
        <v>11</v>
      </c>
      <c r="D1015" s="57" t="s">
        <v>7</v>
      </c>
      <c r="E1015" s="57" t="s">
        <v>85</v>
      </c>
      <c r="F1015" s="37" t="s">
        <v>555</v>
      </c>
      <c r="G1015" s="57" t="s">
        <v>90</v>
      </c>
      <c r="H1015" s="58">
        <f>H1016+H1018+H1020</f>
        <v>40495.51</v>
      </c>
      <c r="I1015" s="58">
        <f>I1016+I1018+I1020</f>
        <v>41477.4</v>
      </c>
      <c r="J1015" s="58">
        <f>J1016+J1018+J1020</f>
        <v>41565.32</v>
      </c>
      <c r="K1015" s="58">
        <v>40495.51</v>
      </c>
      <c r="L1015" s="58">
        <v>41477.4</v>
      </c>
      <c r="M1015" s="58">
        <v>41565.32</v>
      </c>
      <c r="N1015" s="58"/>
      <c r="O1015" s="58">
        <v>40495.51</v>
      </c>
      <c r="P1015" s="58">
        <v>41477.4</v>
      </c>
      <c r="Q1015" s="58">
        <v>41565.32</v>
      </c>
      <c r="R1015" s="472">
        <f t="shared" si="400"/>
        <v>0</v>
      </c>
      <c r="S1015" s="472">
        <f t="shared" si="401"/>
        <v>0</v>
      </c>
      <c r="T1015" s="472">
        <f t="shared" si="402"/>
        <v>0</v>
      </c>
      <c r="U1015" s="178" t="s">
        <v>405</v>
      </c>
      <c r="V1015" s="56" t="s">
        <v>11</v>
      </c>
      <c r="W1015" s="57" t="s">
        <v>7</v>
      </c>
      <c r="X1015" s="57" t="s">
        <v>85</v>
      </c>
      <c r="Y1015" s="37" t="s">
        <v>555</v>
      </c>
      <c r="Z1015" s="57" t="s">
        <v>90</v>
      </c>
      <c r="AA1015" s="12" t="b">
        <f t="shared" si="404"/>
        <v>1</v>
      </c>
      <c r="AB1015" s="12" t="b">
        <f t="shared" si="405"/>
        <v>1</v>
      </c>
      <c r="AC1015" s="12" t="b">
        <f t="shared" si="406"/>
        <v>1</v>
      </c>
      <c r="AD1015" s="12" t="b">
        <f t="shared" si="407"/>
        <v>1</v>
      </c>
      <c r="AE1015" s="12" t="b">
        <f t="shared" si="408"/>
        <v>1</v>
      </c>
      <c r="AF1015" s="12" t="b">
        <f t="shared" si="409"/>
        <v>1</v>
      </c>
    </row>
    <row r="1016" spans="1:32" s="12" customFormat="1" ht="15.75" customHeight="1">
      <c r="A1016" s="285"/>
      <c r="B1016" s="182" t="s">
        <v>187</v>
      </c>
      <c r="C1016" s="36" t="s">
        <v>11</v>
      </c>
      <c r="D1016" s="37" t="s">
        <v>7</v>
      </c>
      <c r="E1016" s="37" t="s">
        <v>85</v>
      </c>
      <c r="F1016" s="37" t="s">
        <v>556</v>
      </c>
      <c r="G1016" s="37" t="s">
        <v>90</v>
      </c>
      <c r="H1016" s="183">
        <f>H1017</f>
        <v>32556.92</v>
      </c>
      <c r="I1016" s="183">
        <f>I1017</f>
        <v>33538.81</v>
      </c>
      <c r="J1016" s="183">
        <f>J1017</f>
        <v>33626.729999999996</v>
      </c>
      <c r="K1016" s="183">
        <v>32556.92</v>
      </c>
      <c r="L1016" s="183">
        <v>33538.81</v>
      </c>
      <c r="M1016" s="183">
        <v>33626.729999999996</v>
      </c>
      <c r="N1016" s="183"/>
      <c r="O1016" s="183">
        <v>32556.92</v>
      </c>
      <c r="P1016" s="183">
        <v>33538.81</v>
      </c>
      <c r="Q1016" s="183">
        <v>33626.729999999996</v>
      </c>
      <c r="R1016" s="472">
        <f t="shared" si="400"/>
        <v>0</v>
      </c>
      <c r="S1016" s="472">
        <f t="shared" si="401"/>
        <v>0</v>
      </c>
      <c r="T1016" s="472">
        <f t="shared" si="402"/>
        <v>0</v>
      </c>
      <c r="U1016" s="182" t="s">
        <v>187</v>
      </c>
      <c r="V1016" s="36" t="s">
        <v>11</v>
      </c>
      <c r="W1016" s="37" t="s">
        <v>7</v>
      </c>
      <c r="X1016" s="37" t="s">
        <v>85</v>
      </c>
      <c r="Y1016" s="37" t="s">
        <v>556</v>
      </c>
      <c r="Z1016" s="37" t="s">
        <v>90</v>
      </c>
      <c r="AA1016" s="12" t="b">
        <f t="shared" si="404"/>
        <v>1</v>
      </c>
      <c r="AB1016" s="12" t="b">
        <f t="shared" si="405"/>
        <v>1</v>
      </c>
      <c r="AC1016" s="12" t="b">
        <f t="shared" si="406"/>
        <v>1</v>
      </c>
      <c r="AD1016" s="12" t="b">
        <f t="shared" si="407"/>
        <v>1</v>
      </c>
      <c r="AE1016" s="12" t="b">
        <f t="shared" si="408"/>
        <v>1</v>
      </c>
      <c r="AF1016" s="12" t="b">
        <f t="shared" si="409"/>
        <v>1</v>
      </c>
    </row>
    <row r="1017" spans="1:32" s="12" customFormat="1" ht="15.75" customHeight="1">
      <c r="A1017" s="285"/>
      <c r="B1017" s="182" t="s">
        <v>145</v>
      </c>
      <c r="C1017" s="36" t="s">
        <v>11</v>
      </c>
      <c r="D1017" s="37" t="s">
        <v>7</v>
      </c>
      <c r="E1017" s="37" t="s">
        <v>85</v>
      </c>
      <c r="F1017" s="37" t="s">
        <v>556</v>
      </c>
      <c r="G1017" s="37" t="s">
        <v>153</v>
      </c>
      <c r="H1017" s="183">
        <f>33126.42-569.51+0.01</f>
        <v>32556.92</v>
      </c>
      <c r="I1017" s="183">
        <f>34131.09-592.29+0.01</f>
        <v>33538.81</v>
      </c>
      <c r="J1017" s="183">
        <f>34242.7-615.98+0.01</f>
        <v>33626.729999999996</v>
      </c>
      <c r="K1017" s="183">
        <v>32556.92</v>
      </c>
      <c r="L1017" s="183">
        <v>33538.81</v>
      </c>
      <c r="M1017" s="183">
        <v>33626.729999999996</v>
      </c>
      <c r="N1017" s="183"/>
      <c r="O1017" s="183">
        <v>32556.92</v>
      </c>
      <c r="P1017" s="183">
        <v>33538.81</v>
      </c>
      <c r="Q1017" s="183">
        <v>33626.729999999996</v>
      </c>
      <c r="R1017" s="472">
        <f t="shared" si="400"/>
        <v>0</v>
      </c>
      <c r="S1017" s="472">
        <f t="shared" si="401"/>
        <v>0</v>
      </c>
      <c r="T1017" s="472">
        <f t="shared" si="402"/>
        <v>0</v>
      </c>
      <c r="U1017" s="182" t="s">
        <v>145</v>
      </c>
      <c r="V1017" s="36" t="s">
        <v>11</v>
      </c>
      <c r="W1017" s="37" t="s">
        <v>7</v>
      </c>
      <c r="X1017" s="37" t="s">
        <v>85</v>
      </c>
      <c r="Y1017" s="37" t="s">
        <v>556</v>
      </c>
      <c r="Z1017" s="37" t="s">
        <v>153</v>
      </c>
      <c r="AA1017" s="12" t="b">
        <f t="shared" si="404"/>
        <v>1</v>
      </c>
      <c r="AB1017" s="12" t="b">
        <f t="shared" si="405"/>
        <v>1</v>
      </c>
      <c r="AC1017" s="12" t="b">
        <f t="shared" si="406"/>
        <v>1</v>
      </c>
      <c r="AD1017" s="12" t="b">
        <f t="shared" si="407"/>
        <v>1</v>
      </c>
      <c r="AE1017" s="12" t="b">
        <f t="shared" si="408"/>
        <v>1</v>
      </c>
      <c r="AF1017" s="12" t="b">
        <f t="shared" si="409"/>
        <v>1</v>
      </c>
    </row>
    <row r="1018" spans="1:32" s="12" customFormat="1" ht="15.75" customHeight="1">
      <c r="A1018" s="285"/>
      <c r="B1018" s="182" t="s">
        <v>756</v>
      </c>
      <c r="C1018" s="36" t="s">
        <v>11</v>
      </c>
      <c r="D1018" s="37" t="s">
        <v>7</v>
      </c>
      <c r="E1018" s="37" t="s">
        <v>85</v>
      </c>
      <c r="F1018" s="37" t="s">
        <v>772</v>
      </c>
      <c r="G1018" s="37" t="s">
        <v>90</v>
      </c>
      <c r="H1018" s="183">
        <f>H1019</f>
        <v>941.72</v>
      </c>
      <c r="I1018" s="183">
        <f>I1019</f>
        <v>941.72</v>
      </c>
      <c r="J1018" s="183">
        <f>J1019</f>
        <v>941.72</v>
      </c>
      <c r="K1018" s="183">
        <v>941.72</v>
      </c>
      <c r="L1018" s="183">
        <v>941.72</v>
      </c>
      <c r="M1018" s="183">
        <v>941.72</v>
      </c>
      <c r="N1018" s="183"/>
      <c r="O1018" s="183">
        <v>941.72</v>
      </c>
      <c r="P1018" s="183">
        <v>941.72</v>
      </c>
      <c r="Q1018" s="183">
        <v>941.72</v>
      </c>
      <c r="R1018" s="472">
        <f t="shared" si="400"/>
        <v>0</v>
      </c>
      <c r="S1018" s="472">
        <f t="shared" si="401"/>
        <v>0</v>
      </c>
      <c r="T1018" s="472">
        <f t="shared" si="402"/>
        <v>0</v>
      </c>
      <c r="U1018" s="182" t="s">
        <v>756</v>
      </c>
      <c r="V1018" s="36" t="s">
        <v>11</v>
      </c>
      <c r="W1018" s="37" t="s">
        <v>7</v>
      </c>
      <c r="X1018" s="37" t="s">
        <v>85</v>
      </c>
      <c r="Y1018" s="37" t="s">
        <v>772</v>
      </c>
      <c r="Z1018" s="37" t="s">
        <v>90</v>
      </c>
      <c r="AA1018" s="12" t="b">
        <f t="shared" si="404"/>
        <v>1</v>
      </c>
      <c r="AB1018" s="12" t="b">
        <f t="shared" si="405"/>
        <v>1</v>
      </c>
      <c r="AC1018" s="12" t="b">
        <f t="shared" si="406"/>
        <v>1</v>
      </c>
      <c r="AD1018" s="12" t="b">
        <f t="shared" si="407"/>
        <v>1</v>
      </c>
      <c r="AE1018" s="12" t="b">
        <f t="shared" si="408"/>
        <v>1</v>
      </c>
      <c r="AF1018" s="12" t="b">
        <f t="shared" si="409"/>
        <v>1</v>
      </c>
    </row>
    <row r="1019" spans="1:32" s="12" customFormat="1" ht="15.75" customHeight="1">
      <c r="A1019" s="285"/>
      <c r="B1019" s="182" t="s">
        <v>145</v>
      </c>
      <c r="C1019" s="36" t="s">
        <v>11</v>
      </c>
      <c r="D1019" s="37" t="s">
        <v>7</v>
      </c>
      <c r="E1019" s="37" t="s">
        <v>85</v>
      </c>
      <c r="F1019" s="37" t="s">
        <v>772</v>
      </c>
      <c r="G1019" s="37" t="s">
        <v>153</v>
      </c>
      <c r="H1019" s="183">
        <v>941.72</v>
      </c>
      <c r="I1019" s="183">
        <v>941.72</v>
      </c>
      <c r="J1019" s="183">
        <v>941.72</v>
      </c>
      <c r="K1019" s="183">
        <v>941.72</v>
      </c>
      <c r="L1019" s="183">
        <v>941.72</v>
      </c>
      <c r="M1019" s="183">
        <v>941.72</v>
      </c>
      <c r="N1019" s="183"/>
      <c r="O1019" s="183">
        <v>941.72</v>
      </c>
      <c r="P1019" s="183">
        <v>941.72</v>
      </c>
      <c r="Q1019" s="183">
        <v>941.72</v>
      </c>
      <c r="R1019" s="472">
        <f t="shared" si="400"/>
        <v>0</v>
      </c>
      <c r="S1019" s="472">
        <f t="shared" si="401"/>
        <v>0</v>
      </c>
      <c r="T1019" s="472">
        <f t="shared" si="402"/>
        <v>0</v>
      </c>
      <c r="U1019" s="182" t="s">
        <v>145</v>
      </c>
      <c r="V1019" s="36" t="s">
        <v>11</v>
      </c>
      <c r="W1019" s="37" t="s">
        <v>7</v>
      </c>
      <c r="X1019" s="37" t="s">
        <v>85</v>
      </c>
      <c r="Y1019" s="37" t="s">
        <v>772</v>
      </c>
      <c r="Z1019" s="37" t="s">
        <v>153</v>
      </c>
      <c r="AA1019" s="12" t="b">
        <f t="shared" si="404"/>
        <v>1</v>
      </c>
      <c r="AB1019" s="12" t="b">
        <f t="shared" si="405"/>
        <v>1</v>
      </c>
      <c r="AC1019" s="12" t="b">
        <f t="shared" si="406"/>
        <v>1</v>
      </c>
      <c r="AD1019" s="12" t="b">
        <f t="shared" si="407"/>
        <v>1</v>
      </c>
      <c r="AE1019" s="12" t="b">
        <f t="shared" si="408"/>
        <v>1</v>
      </c>
      <c r="AF1019" s="12" t="b">
        <f t="shared" si="409"/>
        <v>1</v>
      </c>
    </row>
    <row r="1020" spans="1:32" s="12" customFormat="1" ht="15.75" customHeight="1">
      <c r="A1020" s="285"/>
      <c r="B1020" s="182" t="s">
        <v>821</v>
      </c>
      <c r="C1020" s="36" t="s">
        <v>11</v>
      </c>
      <c r="D1020" s="57" t="s">
        <v>7</v>
      </c>
      <c r="E1020" s="57" t="s">
        <v>85</v>
      </c>
      <c r="F1020" s="37" t="s">
        <v>912</v>
      </c>
      <c r="G1020" s="57" t="s">
        <v>90</v>
      </c>
      <c r="H1020" s="58">
        <f>H1021</f>
        <v>6996.87</v>
      </c>
      <c r="I1020" s="58">
        <f>I1021</f>
        <v>6996.87</v>
      </c>
      <c r="J1020" s="58">
        <f>J1021</f>
        <v>6996.87</v>
      </c>
      <c r="K1020" s="58">
        <v>6996.87</v>
      </c>
      <c r="L1020" s="58">
        <v>6996.87</v>
      </c>
      <c r="M1020" s="58">
        <v>6996.87</v>
      </c>
      <c r="N1020" s="58"/>
      <c r="O1020" s="58">
        <v>6996.87</v>
      </c>
      <c r="P1020" s="58">
        <v>6996.87</v>
      </c>
      <c r="Q1020" s="58">
        <v>6996.87</v>
      </c>
      <c r="R1020" s="472">
        <f t="shared" si="400"/>
        <v>0</v>
      </c>
      <c r="S1020" s="472">
        <f t="shared" si="401"/>
        <v>0</v>
      </c>
      <c r="T1020" s="472">
        <f t="shared" si="402"/>
        <v>0</v>
      </c>
      <c r="U1020" s="182" t="s">
        <v>821</v>
      </c>
      <c r="V1020" s="36" t="s">
        <v>11</v>
      </c>
      <c r="W1020" s="57" t="s">
        <v>7</v>
      </c>
      <c r="X1020" s="57" t="s">
        <v>85</v>
      </c>
      <c r="Y1020" s="37" t="s">
        <v>912</v>
      </c>
      <c r="Z1020" s="57" t="s">
        <v>90</v>
      </c>
      <c r="AA1020" s="12" t="b">
        <f t="shared" si="404"/>
        <v>1</v>
      </c>
      <c r="AB1020" s="12" t="b">
        <f t="shared" si="405"/>
        <v>1</v>
      </c>
      <c r="AC1020" s="12" t="b">
        <f t="shared" si="406"/>
        <v>1</v>
      </c>
      <c r="AD1020" s="12" t="b">
        <f t="shared" si="407"/>
        <v>1</v>
      </c>
      <c r="AE1020" s="12" t="b">
        <f t="shared" si="408"/>
        <v>1</v>
      </c>
      <c r="AF1020" s="12" t="b">
        <f t="shared" si="409"/>
        <v>1</v>
      </c>
    </row>
    <row r="1021" spans="1:32" s="12" customFormat="1" ht="15.75" customHeight="1">
      <c r="A1021" s="285"/>
      <c r="B1021" s="182" t="s">
        <v>145</v>
      </c>
      <c r="C1021" s="36" t="s">
        <v>11</v>
      </c>
      <c r="D1021" s="37" t="s">
        <v>7</v>
      </c>
      <c r="E1021" s="37" t="s">
        <v>85</v>
      </c>
      <c r="F1021" s="37" t="s">
        <v>912</v>
      </c>
      <c r="G1021" s="37" t="s">
        <v>153</v>
      </c>
      <c r="H1021" s="183">
        <v>6996.87</v>
      </c>
      <c r="I1021" s="183">
        <v>6996.87</v>
      </c>
      <c r="J1021" s="183">
        <v>6996.87</v>
      </c>
      <c r="K1021" s="183">
        <v>6996.87</v>
      </c>
      <c r="L1021" s="183">
        <v>6996.87</v>
      </c>
      <c r="M1021" s="183">
        <v>6996.87</v>
      </c>
      <c r="N1021" s="183"/>
      <c r="O1021" s="183">
        <v>6996.87</v>
      </c>
      <c r="P1021" s="183">
        <v>6996.87</v>
      </c>
      <c r="Q1021" s="183">
        <v>6996.87</v>
      </c>
      <c r="R1021" s="472">
        <f t="shared" si="400"/>
        <v>0</v>
      </c>
      <c r="S1021" s="472">
        <f t="shared" si="401"/>
        <v>0</v>
      </c>
      <c r="T1021" s="472">
        <f t="shared" si="402"/>
        <v>0</v>
      </c>
      <c r="U1021" s="182" t="s">
        <v>145</v>
      </c>
      <c r="V1021" s="36" t="s">
        <v>11</v>
      </c>
      <c r="W1021" s="37" t="s">
        <v>7</v>
      </c>
      <c r="X1021" s="37" t="s">
        <v>85</v>
      </c>
      <c r="Y1021" s="37" t="s">
        <v>912</v>
      </c>
      <c r="Z1021" s="37" t="s">
        <v>153</v>
      </c>
      <c r="AA1021" s="12" t="b">
        <f t="shared" si="404"/>
        <v>1</v>
      </c>
      <c r="AB1021" s="12" t="b">
        <f t="shared" si="405"/>
        <v>1</v>
      </c>
      <c r="AC1021" s="12" t="b">
        <f t="shared" si="406"/>
        <v>1</v>
      </c>
      <c r="AD1021" s="12" t="b">
        <f t="shared" si="407"/>
        <v>1</v>
      </c>
      <c r="AE1021" s="12" t="b">
        <f t="shared" si="408"/>
        <v>1</v>
      </c>
      <c r="AF1021" s="12" t="b">
        <f t="shared" si="409"/>
        <v>1</v>
      </c>
    </row>
    <row r="1022" spans="1:32" s="12" customFormat="1" ht="15.75" customHeight="1">
      <c r="A1022" s="285"/>
      <c r="B1022" s="28" t="s">
        <v>438</v>
      </c>
      <c r="C1022" s="29" t="s">
        <v>11</v>
      </c>
      <c r="D1022" s="30" t="s">
        <v>82</v>
      </c>
      <c r="E1022" s="30" t="s">
        <v>83</v>
      </c>
      <c r="F1022" s="30" t="s">
        <v>223</v>
      </c>
      <c r="G1022" s="30" t="s">
        <v>90</v>
      </c>
      <c r="H1022" s="31">
        <f t="shared" ref="H1022:J1025" si="414">H1023</f>
        <v>1480</v>
      </c>
      <c r="I1022" s="31">
        <f>I1023</f>
        <v>1480</v>
      </c>
      <c r="J1022" s="31">
        <f>J1023</f>
        <v>1480</v>
      </c>
      <c r="K1022" s="31">
        <v>1480</v>
      </c>
      <c r="L1022" s="31">
        <v>1480</v>
      </c>
      <c r="M1022" s="31">
        <v>1480</v>
      </c>
      <c r="N1022" s="31"/>
      <c r="O1022" s="31">
        <v>1480</v>
      </c>
      <c r="P1022" s="31">
        <v>1480</v>
      </c>
      <c r="Q1022" s="31">
        <v>1480</v>
      </c>
      <c r="R1022" s="472">
        <f t="shared" ref="R1022:R1053" si="415">H1022-O1022</f>
        <v>0</v>
      </c>
      <c r="S1022" s="472">
        <f t="shared" ref="S1022:S1053" si="416">I1022-P1022</f>
        <v>0</v>
      </c>
      <c r="T1022" s="472">
        <f t="shared" ref="T1022:T1053" si="417">J1022-Q1022</f>
        <v>0</v>
      </c>
      <c r="U1022" s="28" t="s">
        <v>438</v>
      </c>
      <c r="V1022" s="29" t="s">
        <v>11</v>
      </c>
      <c r="W1022" s="30" t="s">
        <v>82</v>
      </c>
      <c r="X1022" s="30" t="s">
        <v>83</v>
      </c>
      <c r="Y1022" s="30" t="s">
        <v>223</v>
      </c>
      <c r="Z1022" s="30" t="s">
        <v>90</v>
      </c>
      <c r="AA1022" s="12" t="b">
        <f t="shared" si="404"/>
        <v>1</v>
      </c>
      <c r="AB1022" s="12" t="b">
        <f t="shared" si="405"/>
        <v>1</v>
      </c>
      <c r="AC1022" s="12" t="b">
        <f t="shared" si="406"/>
        <v>1</v>
      </c>
      <c r="AD1022" s="12" t="b">
        <f t="shared" si="407"/>
        <v>1</v>
      </c>
      <c r="AE1022" s="12" t="b">
        <f t="shared" si="408"/>
        <v>1</v>
      </c>
      <c r="AF1022" s="12" t="b">
        <f t="shared" si="409"/>
        <v>1</v>
      </c>
    </row>
    <row r="1023" spans="1:32" s="12" customFormat="1" ht="15.75" customHeight="1">
      <c r="A1023" s="285"/>
      <c r="B1023" s="32" t="s">
        <v>35</v>
      </c>
      <c r="C1023" s="33" t="s">
        <v>11</v>
      </c>
      <c r="D1023" s="34" t="s">
        <v>82</v>
      </c>
      <c r="E1023" s="34" t="s">
        <v>98</v>
      </c>
      <c r="F1023" s="34" t="s">
        <v>223</v>
      </c>
      <c r="G1023" s="34" t="s">
        <v>90</v>
      </c>
      <c r="H1023" s="35">
        <f t="shared" si="414"/>
        <v>1480</v>
      </c>
      <c r="I1023" s="35">
        <f t="shared" si="414"/>
        <v>1480</v>
      </c>
      <c r="J1023" s="35">
        <f t="shared" si="414"/>
        <v>1480</v>
      </c>
      <c r="K1023" s="35">
        <v>1480</v>
      </c>
      <c r="L1023" s="35">
        <v>1480</v>
      </c>
      <c r="M1023" s="35">
        <v>1480</v>
      </c>
      <c r="N1023" s="35"/>
      <c r="O1023" s="35">
        <v>1480</v>
      </c>
      <c r="P1023" s="35">
        <v>1480</v>
      </c>
      <c r="Q1023" s="35">
        <v>1480</v>
      </c>
      <c r="R1023" s="472">
        <f t="shared" si="415"/>
        <v>0</v>
      </c>
      <c r="S1023" s="472">
        <f t="shared" si="416"/>
        <v>0</v>
      </c>
      <c r="T1023" s="472">
        <f t="shared" si="417"/>
        <v>0</v>
      </c>
      <c r="U1023" s="32" t="s">
        <v>35</v>
      </c>
      <c r="V1023" s="33" t="s">
        <v>11</v>
      </c>
      <c r="W1023" s="34" t="s">
        <v>82</v>
      </c>
      <c r="X1023" s="34" t="s">
        <v>98</v>
      </c>
      <c r="Y1023" s="34" t="s">
        <v>223</v>
      </c>
      <c r="Z1023" s="34" t="s">
        <v>90</v>
      </c>
      <c r="AA1023" s="12" t="b">
        <f t="shared" si="404"/>
        <v>1</v>
      </c>
      <c r="AB1023" s="12" t="b">
        <f t="shared" si="405"/>
        <v>1</v>
      </c>
      <c r="AC1023" s="12" t="b">
        <f t="shared" si="406"/>
        <v>1</v>
      </c>
      <c r="AD1023" s="12" t="b">
        <f t="shared" si="407"/>
        <v>1</v>
      </c>
      <c r="AE1023" s="12" t="b">
        <f t="shared" si="408"/>
        <v>1</v>
      </c>
      <c r="AF1023" s="12" t="b">
        <f t="shared" si="409"/>
        <v>1</v>
      </c>
    </row>
    <row r="1024" spans="1:32" s="12" customFormat="1" ht="15.75" customHeight="1">
      <c r="A1024" s="285"/>
      <c r="B1024" s="182" t="s">
        <v>656</v>
      </c>
      <c r="C1024" s="36" t="s">
        <v>11</v>
      </c>
      <c r="D1024" s="37" t="s">
        <v>82</v>
      </c>
      <c r="E1024" s="37" t="s">
        <v>98</v>
      </c>
      <c r="F1024" s="37" t="s">
        <v>279</v>
      </c>
      <c r="G1024" s="37" t="s">
        <v>90</v>
      </c>
      <c r="H1024" s="183">
        <f t="shared" si="414"/>
        <v>1480</v>
      </c>
      <c r="I1024" s="183">
        <f t="shared" si="414"/>
        <v>1480</v>
      </c>
      <c r="J1024" s="183">
        <f t="shared" si="414"/>
        <v>1480</v>
      </c>
      <c r="K1024" s="183">
        <v>1480</v>
      </c>
      <c r="L1024" s="183">
        <v>1480</v>
      </c>
      <c r="M1024" s="183">
        <v>1480</v>
      </c>
      <c r="N1024" s="183"/>
      <c r="O1024" s="183">
        <v>1480</v>
      </c>
      <c r="P1024" s="183">
        <v>1480</v>
      </c>
      <c r="Q1024" s="183">
        <v>1480</v>
      </c>
      <c r="R1024" s="472">
        <f t="shared" si="415"/>
        <v>0</v>
      </c>
      <c r="S1024" s="472">
        <f t="shared" si="416"/>
        <v>0</v>
      </c>
      <c r="T1024" s="472">
        <f t="shared" si="417"/>
        <v>0</v>
      </c>
      <c r="U1024" s="182" t="s">
        <v>656</v>
      </c>
      <c r="V1024" s="36" t="s">
        <v>11</v>
      </c>
      <c r="W1024" s="37" t="s">
        <v>82</v>
      </c>
      <c r="X1024" s="37" t="s">
        <v>98</v>
      </c>
      <c r="Y1024" s="37" t="s">
        <v>279</v>
      </c>
      <c r="Z1024" s="37" t="s">
        <v>90</v>
      </c>
      <c r="AA1024" s="12" t="b">
        <f t="shared" si="404"/>
        <v>1</v>
      </c>
      <c r="AB1024" s="12" t="b">
        <f t="shared" si="405"/>
        <v>1</v>
      </c>
      <c r="AC1024" s="12" t="b">
        <f t="shared" si="406"/>
        <v>1</v>
      </c>
      <c r="AD1024" s="12" t="b">
        <f t="shared" si="407"/>
        <v>1</v>
      </c>
      <c r="AE1024" s="12" t="b">
        <f t="shared" si="408"/>
        <v>1</v>
      </c>
      <c r="AF1024" s="12" t="b">
        <f t="shared" si="409"/>
        <v>1</v>
      </c>
    </row>
    <row r="1025" spans="1:32" s="12" customFormat="1" ht="15.75" customHeight="1">
      <c r="A1025" s="285"/>
      <c r="B1025" s="22" t="s">
        <v>219</v>
      </c>
      <c r="C1025" s="36" t="s">
        <v>11</v>
      </c>
      <c r="D1025" s="37" t="s">
        <v>82</v>
      </c>
      <c r="E1025" s="37" t="s">
        <v>98</v>
      </c>
      <c r="F1025" s="37" t="s">
        <v>280</v>
      </c>
      <c r="G1025" s="37" t="s">
        <v>90</v>
      </c>
      <c r="H1025" s="183">
        <f t="shared" si="414"/>
        <v>1480</v>
      </c>
      <c r="I1025" s="183">
        <f t="shared" si="414"/>
        <v>1480</v>
      </c>
      <c r="J1025" s="183">
        <f t="shared" si="414"/>
        <v>1480</v>
      </c>
      <c r="K1025" s="183">
        <v>1480</v>
      </c>
      <c r="L1025" s="183">
        <v>1480</v>
      </c>
      <c r="M1025" s="183">
        <v>1480</v>
      </c>
      <c r="N1025" s="183"/>
      <c r="O1025" s="183">
        <v>1480</v>
      </c>
      <c r="P1025" s="183">
        <v>1480</v>
      </c>
      <c r="Q1025" s="183">
        <v>1480</v>
      </c>
      <c r="R1025" s="472">
        <f t="shared" si="415"/>
        <v>0</v>
      </c>
      <c r="S1025" s="472">
        <f t="shared" si="416"/>
        <v>0</v>
      </c>
      <c r="T1025" s="472">
        <f t="shared" si="417"/>
        <v>0</v>
      </c>
      <c r="U1025" s="22" t="s">
        <v>219</v>
      </c>
      <c r="V1025" s="36" t="s">
        <v>11</v>
      </c>
      <c r="W1025" s="37" t="s">
        <v>82</v>
      </c>
      <c r="X1025" s="37" t="s">
        <v>98</v>
      </c>
      <c r="Y1025" s="37" t="s">
        <v>280</v>
      </c>
      <c r="Z1025" s="37" t="s">
        <v>90</v>
      </c>
      <c r="AA1025" s="12" t="b">
        <f t="shared" si="404"/>
        <v>1</v>
      </c>
      <c r="AB1025" s="12" t="b">
        <f t="shared" si="405"/>
        <v>1</v>
      </c>
      <c r="AC1025" s="12" t="b">
        <f t="shared" si="406"/>
        <v>1</v>
      </c>
      <c r="AD1025" s="12" t="b">
        <f t="shared" si="407"/>
        <v>1</v>
      </c>
      <c r="AE1025" s="12" t="b">
        <f t="shared" si="408"/>
        <v>1</v>
      </c>
      <c r="AF1025" s="12" t="b">
        <f t="shared" si="409"/>
        <v>1</v>
      </c>
    </row>
    <row r="1026" spans="1:32" s="12" customFormat="1" ht="15.75" customHeight="1">
      <c r="A1026" s="285"/>
      <c r="B1026" s="65" t="s">
        <v>523</v>
      </c>
      <c r="C1026" s="56" t="s">
        <v>11</v>
      </c>
      <c r="D1026" s="57" t="s">
        <v>82</v>
      </c>
      <c r="E1026" s="57" t="s">
        <v>98</v>
      </c>
      <c r="F1026" s="57" t="s">
        <v>281</v>
      </c>
      <c r="G1026" s="57" t="s">
        <v>90</v>
      </c>
      <c r="H1026" s="58">
        <f>H1027+H1029</f>
        <v>1480</v>
      </c>
      <c r="I1026" s="58">
        <f>I1027+I1029</f>
        <v>1480</v>
      </c>
      <c r="J1026" s="58">
        <f>J1027+J1029</f>
        <v>1480</v>
      </c>
      <c r="K1026" s="58">
        <v>1480</v>
      </c>
      <c r="L1026" s="58">
        <v>1480</v>
      </c>
      <c r="M1026" s="58">
        <v>1480</v>
      </c>
      <c r="N1026" s="58"/>
      <c r="O1026" s="58">
        <v>1480</v>
      </c>
      <c r="P1026" s="58">
        <v>1480</v>
      </c>
      <c r="Q1026" s="58">
        <v>1480</v>
      </c>
      <c r="R1026" s="472">
        <f t="shared" si="415"/>
        <v>0</v>
      </c>
      <c r="S1026" s="472">
        <f t="shared" si="416"/>
        <v>0</v>
      </c>
      <c r="T1026" s="472">
        <f t="shared" si="417"/>
        <v>0</v>
      </c>
      <c r="U1026" s="65" t="s">
        <v>523</v>
      </c>
      <c r="V1026" s="56" t="s">
        <v>11</v>
      </c>
      <c r="W1026" s="57" t="s">
        <v>82</v>
      </c>
      <c r="X1026" s="57" t="s">
        <v>98</v>
      </c>
      <c r="Y1026" s="57" t="s">
        <v>281</v>
      </c>
      <c r="Z1026" s="57" t="s">
        <v>90</v>
      </c>
      <c r="AA1026" s="12" t="b">
        <f t="shared" si="404"/>
        <v>1</v>
      </c>
      <c r="AB1026" s="12" t="b">
        <f t="shared" si="405"/>
        <v>1</v>
      </c>
      <c r="AC1026" s="12" t="b">
        <f t="shared" si="406"/>
        <v>1</v>
      </c>
      <c r="AD1026" s="12" t="b">
        <f t="shared" si="407"/>
        <v>1</v>
      </c>
      <c r="AE1026" s="12" t="b">
        <f t="shared" si="408"/>
        <v>1</v>
      </c>
      <c r="AF1026" s="12" t="b">
        <f t="shared" si="409"/>
        <v>1</v>
      </c>
    </row>
    <row r="1027" spans="1:32" s="12" customFormat="1" ht="15.75" customHeight="1">
      <c r="A1027" s="285"/>
      <c r="B1027" s="182" t="s">
        <v>189</v>
      </c>
      <c r="C1027" s="36" t="s">
        <v>11</v>
      </c>
      <c r="D1027" s="37" t="s">
        <v>82</v>
      </c>
      <c r="E1027" s="37" t="s">
        <v>98</v>
      </c>
      <c r="F1027" s="37" t="s">
        <v>307</v>
      </c>
      <c r="G1027" s="37" t="s">
        <v>90</v>
      </c>
      <c r="H1027" s="183">
        <f>H1028</f>
        <v>919</v>
      </c>
      <c r="I1027" s="183">
        <f>I1028</f>
        <v>919</v>
      </c>
      <c r="J1027" s="183">
        <f>J1028</f>
        <v>919</v>
      </c>
      <c r="K1027" s="183">
        <v>919</v>
      </c>
      <c r="L1027" s="183">
        <v>919</v>
      </c>
      <c r="M1027" s="183">
        <v>919</v>
      </c>
      <c r="N1027" s="183"/>
      <c r="O1027" s="183">
        <v>919</v>
      </c>
      <c r="P1027" s="183">
        <v>919</v>
      </c>
      <c r="Q1027" s="183">
        <v>919</v>
      </c>
      <c r="R1027" s="472">
        <f t="shared" si="415"/>
        <v>0</v>
      </c>
      <c r="S1027" s="472">
        <f t="shared" si="416"/>
        <v>0</v>
      </c>
      <c r="T1027" s="472">
        <f t="shared" si="417"/>
        <v>0</v>
      </c>
      <c r="U1027" s="182" t="s">
        <v>189</v>
      </c>
      <c r="V1027" s="36" t="s">
        <v>11</v>
      </c>
      <c r="W1027" s="37" t="s">
        <v>82</v>
      </c>
      <c r="X1027" s="37" t="s">
        <v>98</v>
      </c>
      <c r="Y1027" s="37" t="s">
        <v>307</v>
      </c>
      <c r="Z1027" s="37" t="s">
        <v>90</v>
      </c>
      <c r="AA1027" s="12" t="b">
        <f t="shared" si="404"/>
        <v>1</v>
      </c>
      <c r="AB1027" s="12" t="b">
        <f t="shared" si="405"/>
        <v>1</v>
      </c>
      <c r="AC1027" s="12" t="b">
        <f t="shared" si="406"/>
        <v>1</v>
      </c>
      <c r="AD1027" s="12" t="b">
        <f t="shared" si="407"/>
        <v>1</v>
      </c>
      <c r="AE1027" s="12" t="b">
        <f t="shared" si="408"/>
        <v>1</v>
      </c>
      <c r="AF1027" s="12" t="b">
        <f t="shared" si="409"/>
        <v>1</v>
      </c>
    </row>
    <row r="1028" spans="1:32" s="12" customFormat="1" ht="15.75" customHeight="1">
      <c r="A1028" s="285"/>
      <c r="B1028" s="182" t="s">
        <v>145</v>
      </c>
      <c r="C1028" s="36" t="s">
        <v>11</v>
      </c>
      <c r="D1028" s="37" t="s">
        <v>82</v>
      </c>
      <c r="E1028" s="37" t="s">
        <v>98</v>
      </c>
      <c r="F1028" s="37" t="s">
        <v>307</v>
      </c>
      <c r="G1028" s="37" t="s">
        <v>153</v>
      </c>
      <c r="H1028" s="183">
        <v>919</v>
      </c>
      <c r="I1028" s="183">
        <v>919</v>
      </c>
      <c r="J1028" s="183">
        <v>919</v>
      </c>
      <c r="K1028" s="183">
        <v>919</v>
      </c>
      <c r="L1028" s="183">
        <v>919</v>
      </c>
      <c r="M1028" s="183">
        <v>919</v>
      </c>
      <c r="N1028" s="183"/>
      <c r="O1028" s="183">
        <v>919</v>
      </c>
      <c r="P1028" s="183">
        <v>919</v>
      </c>
      <c r="Q1028" s="183">
        <v>919</v>
      </c>
      <c r="R1028" s="472">
        <f t="shared" si="415"/>
        <v>0</v>
      </c>
      <c r="S1028" s="472">
        <f t="shared" si="416"/>
        <v>0</v>
      </c>
      <c r="T1028" s="472">
        <f t="shared" si="417"/>
        <v>0</v>
      </c>
      <c r="U1028" s="182" t="s">
        <v>145</v>
      </c>
      <c r="V1028" s="36" t="s">
        <v>11</v>
      </c>
      <c r="W1028" s="37" t="s">
        <v>82</v>
      </c>
      <c r="X1028" s="37" t="s">
        <v>98</v>
      </c>
      <c r="Y1028" s="37" t="s">
        <v>307</v>
      </c>
      <c r="Z1028" s="37" t="s">
        <v>153</v>
      </c>
      <c r="AA1028" s="12" t="b">
        <f t="shared" si="404"/>
        <v>1</v>
      </c>
      <c r="AB1028" s="12" t="b">
        <f t="shared" si="405"/>
        <v>1</v>
      </c>
      <c r="AC1028" s="12" t="b">
        <f t="shared" si="406"/>
        <v>1</v>
      </c>
      <c r="AD1028" s="12" t="b">
        <f t="shared" si="407"/>
        <v>1</v>
      </c>
      <c r="AE1028" s="12" t="b">
        <f t="shared" si="408"/>
        <v>1</v>
      </c>
      <c r="AF1028" s="12" t="b">
        <f t="shared" si="409"/>
        <v>1</v>
      </c>
    </row>
    <row r="1029" spans="1:32" s="12" customFormat="1" ht="15.75" customHeight="1">
      <c r="A1029" s="285"/>
      <c r="B1029" s="22" t="s">
        <v>757</v>
      </c>
      <c r="C1029" s="36" t="s">
        <v>11</v>
      </c>
      <c r="D1029" s="37" t="s">
        <v>82</v>
      </c>
      <c r="E1029" s="37" t="s">
        <v>98</v>
      </c>
      <c r="F1029" s="37" t="s">
        <v>439</v>
      </c>
      <c r="G1029" s="37" t="s">
        <v>90</v>
      </c>
      <c r="H1029" s="183">
        <f>H1030</f>
        <v>561</v>
      </c>
      <c r="I1029" s="183">
        <f>I1030</f>
        <v>561</v>
      </c>
      <c r="J1029" s="183">
        <f>J1030</f>
        <v>561</v>
      </c>
      <c r="K1029" s="183">
        <v>561</v>
      </c>
      <c r="L1029" s="183">
        <v>561</v>
      </c>
      <c r="M1029" s="183">
        <v>561</v>
      </c>
      <c r="N1029" s="183"/>
      <c r="O1029" s="183">
        <v>561</v>
      </c>
      <c r="P1029" s="183">
        <v>561</v>
      </c>
      <c r="Q1029" s="183">
        <v>561</v>
      </c>
      <c r="R1029" s="472">
        <f t="shared" si="415"/>
        <v>0</v>
      </c>
      <c r="S1029" s="472">
        <f t="shared" si="416"/>
        <v>0</v>
      </c>
      <c r="T1029" s="472">
        <f t="shared" si="417"/>
        <v>0</v>
      </c>
      <c r="U1029" s="22" t="s">
        <v>757</v>
      </c>
      <c r="V1029" s="36" t="s">
        <v>11</v>
      </c>
      <c r="W1029" s="37" t="s">
        <v>82</v>
      </c>
      <c r="X1029" s="37" t="s">
        <v>98</v>
      </c>
      <c r="Y1029" s="37" t="s">
        <v>439</v>
      </c>
      <c r="Z1029" s="37" t="s">
        <v>90</v>
      </c>
      <c r="AA1029" s="12" t="b">
        <f t="shared" si="404"/>
        <v>1</v>
      </c>
      <c r="AB1029" s="12" t="b">
        <f t="shared" si="405"/>
        <v>1</v>
      </c>
      <c r="AC1029" s="12" t="b">
        <f t="shared" si="406"/>
        <v>1</v>
      </c>
      <c r="AD1029" s="12" t="b">
        <f t="shared" si="407"/>
        <v>1</v>
      </c>
      <c r="AE1029" s="12" t="b">
        <f t="shared" si="408"/>
        <v>1</v>
      </c>
      <c r="AF1029" s="12" t="b">
        <f t="shared" si="409"/>
        <v>1</v>
      </c>
    </row>
    <row r="1030" spans="1:32" s="12" customFormat="1" ht="15.75" customHeight="1">
      <c r="A1030" s="285"/>
      <c r="B1030" s="182" t="s">
        <v>145</v>
      </c>
      <c r="C1030" s="36" t="s">
        <v>11</v>
      </c>
      <c r="D1030" s="37" t="s">
        <v>82</v>
      </c>
      <c r="E1030" s="37" t="s">
        <v>98</v>
      </c>
      <c r="F1030" s="37" t="s">
        <v>439</v>
      </c>
      <c r="G1030" s="37" t="s">
        <v>153</v>
      </c>
      <c r="H1030" s="183">
        <v>561</v>
      </c>
      <c r="I1030" s="183">
        <v>561</v>
      </c>
      <c r="J1030" s="183">
        <v>561</v>
      </c>
      <c r="K1030" s="183">
        <v>561</v>
      </c>
      <c r="L1030" s="183">
        <v>561</v>
      </c>
      <c r="M1030" s="183">
        <v>561</v>
      </c>
      <c r="N1030" s="183"/>
      <c r="O1030" s="183">
        <v>561</v>
      </c>
      <c r="P1030" s="183">
        <v>561</v>
      </c>
      <c r="Q1030" s="183">
        <v>561</v>
      </c>
      <c r="R1030" s="472">
        <f t="shared" si="415"/>
        <v>0</v>
      </c>
      <c r="S1030" s="472">
        <f t="shared" si="416"/>
        <v>0</v>
      </c>
      <c r="T1030" s="472">
        <f t="shared" si="417"/>
        <v>0</v>
      </c>
      <c r="U1030" s="182" t="s">
        <v>145</v>
      </c>
      <c r="V1030" s="36" t="s">
        <v>11</v>
      </c>
      <c r="W1030" s="37" t="s">
        <v>82</v>
      </c>
      <c r="X1030" s="37" t="s">
        <v>98</v>
      </c>
      <c r="Y1030" s="37" t="s">
        <v>439</v>
      </c>
      <c r="Z1030" s="37" t="s">
        <v>153</v>
      </c>
      <c r="AA1030" s="12" t="b">
        <f t="shared" si="404"/>
        <v>1</v>
      </c>
      <c r="AB1030" s="12" t="b">
        <f t="shared" si="405"/>
        <v>1</v>
      </c>
      <c r="AC1030" s="12" t="b">
        <f t="shared" si="406"/>
        <v>1</v>
      </c>
      <c r="AD1030" s="12" t="b">
        <f t="shared" si="407"/>
        <v>1</v>
      </c>
      <c r="AE1030" s="12" t="b">
        <f t="shared" si="408"/>
        <v>1</v>
      </c>
      <c r="AF1030" s="12" t="b">
        <f t="shared" si="409"/>
        <v>1</v>
      </c>
    </row>
    <row r="1031" spans="1:32" s="12" customFormat="1" ht="15.75" customHeight="1">
      <c r="A1031" s="285"/>
      <c r="B1031" s="182"/>
      <c r="C1031" s="36"/>
      <c r="D1031" s="37"/>
      <c r="E1031" s="37"/>
      <c r="F1031" s="37"/>
      <c r="G1031" s="37"/>
      <c r="H1031" s="183"/>
      <c r="I1031" s="183"/>
      <c r="J1031" s="183"/>
      <c r="K1031" s="183"/>
      <c r="L1031" s="183"/>
      <c r="M1031" s="183"/>
      <c r="N1031" s="183"/>
      <c r="O1031" s="183"/>
      <c r="P1031" s="183"/>
      <c r="Q1031" s="183"/>
      <c r="R1031" s="472">
        <f t="shared" si="415"/>
        <v>0</v>
      </c>
      <c r="S1031" s="472">
        <f t="shared" si="416"/>
        <v>0</v>
      </c>
      <c r="T1031" s="472">
        <f t="shared" si="417"/>
        <v>0</v>
      </c>
      <c r="U1031" s="182"/>
      <c r="V1031" s="36"/>
      <c r="W1031" s="37"/>
      <c r="X1031" s="37"/>
      <c r="Y1031" s="37"/>
      <c r="Z1031" s="37"/>
      <c r="AA1031" s="12" t="b">
        <f t="shared" si="404"/>
        <v>1</v>
      </c>
      <c r="AB1031" s="12" t="b">
        <f t="shared" si="405"/>
        <v>1</v>
      </c>
      <c r="AC1031" s="12" t="b">
        <f t="shared" si="406"/>
        <v>1</v>
      </c>
      <c r="AD1031" s="12" t="b">
        <f t="shared" si="407"/>
        <v>1</v>
      </c>
      <c r="AE1031" s="12" t="b">
        <f t="shared" si="408"/>
        <v>1</v>
      </c>
      <c r="AF1031" s="12" t="b">
        <f t="shared" si="409"/>
        <v>1</v>
      </c>
    </row>
    <row r="1032" spans="1:32" s="12" customFormat="1" ht="15.75" customHeight="1">
      <c r="A1032" s="285"/>
      <c r="B1032" s="42" t="s">
        <v>16</v>
      </c>
      <c r="C1032" s="25" t="s">
        <v>17</v>
      </c>
      <c r="D1032" s="26" t="s">
        <v>83</v>
      </c>
      <c r="E1032" s="26" t="s">
        <v>83</v>
      </c>
      <c r="F1032" s="163" t="s">
        <v>223</v>
      </c>
      <c r="G1032" s="26" t="s">
        <v>90</v>
      </c>
      <c r="H1032" s="43">
        <f>H1033+H1060+H1069+H1088</f>
        <v>314782.02</v>
      </c>
      <c r="I1032" s="43">
        <f>I1033+I1060+I1069+I1088</f>
        <v>301274.49</v>
      </c>
      <c r="J1032" s="43">
        <f>J1033+J1060+J1069+J1088</f>
        <v>301390.33999999997</v>
      </c>
      <c r="K1032" s="43">
        <v>314782.22000000003</v>
      </c>
      <c r="L1032" s="43">
        <v>301274.69</v>
      </c>
      <c r="M1032" s="43">
        <v>301390.53999999998</v>
      </c>
      <c r="N1032" s="43"/>
      <c r="O1032" s="43">
        <v>310493.94</v>
      </c>
      <c r="P1032" s="43">
        <v>301274.69</v>
      </c>
      <c r="Q1032" s="43">
        <v>301390.53999999998</v>
      </c>
      <c r="R1032" s="472">
        <f t="shared" si="415"/>
        <v>4288.0800000000163</v>
      </c>
      <c r="S1032" s="472">
        <f t="shared" si="416"/>
        <v>-0.20000000001164153</v>
      </c>
      <c r="T1032" s="472">
        <f t="shared" si="417"/>
        <v>-0.20000000001164153</v>
      </c>
      <c r="U1032" s="42" t="s">
        <v>16</v>
      </c>
      <c r="V1032" s="25" t="s">
        <v>17</v>
      </c>
      <c r="W1032" s="26" t="s">
        <v>83</v>
      </c>
      <c r="X1032" s="26" t="s">
        <v>83</v>
      </c>
      <c r="Y1032" s="163" t="s">
        <v>223</v>
      </c>
      <c r="Z1032" s="26" t="s">
        <v>90</v>
      </c>
      <c r="AA1032" s="12" t="b">
        <f t="shared" si="404"/>
        <v>1</v>
      </c>
      <c r="AB1032" s="12" t="b">
        <f t="shared" si="405"/>
        <v>1</v>
      </c>
      <c r="AC1032" s="12" t="b">
        <f t="shared" si="406"/>
        <v>1</v>
      </c>
      <c r="AD1032" s="12" t="b">
        <f t="shared" si="407"/>
        <v>1</v>
      </c>
      <c r="AE1032" s="12" t="b">
        <f t="shared" si="408"/>
        <v>1</v>
      </c>
      <c r="AF1032" s="12" t="b">
        <f t="shared" si="409"/>
        <v>1</v>
      </c>
    </row>
    <row r="1033" spans="1:32" s="12" customFormat="1" ht="15.75" customHeight="1">
      <c r="A1033" s="285"/>
      <c r="B1033" s="19" t="s">
        <v>97</v>
      </c>
      <c r="C1033" s="29" t="s">
        <v>17</v>
      </c>
      <c r="D1033" s="30" t="s">
        <v>98</v>
      </c>
      <c r="E1033" s="30" t="s">
        <v>83</v>
      </c>
      <c r="F1033" s="30" t="s">
        <v>223</v>
      </c>
      <c r="G1033" s="30" t="s">
        <v>90</v>
      </c>
      <c r="H1033" s="31">
        <f>H1034+H1048</f>
        <v>67163.490000000005</v>
      </c>
      <c r="I1033" s="31">
        <f>I1034+I1048</f>
        <v>66399.289999999994</v>
      </c>
      <c r="J1033" s="31">
        <f>J1034+J1048</f>
        <v>66480.990000000005</v>
      </c>
      <c r="K1033" s="31">
        <v>67163.69</v>
      </c>
      <c r="L1033" s="31">
        <v>66399.489999999991</v>
      </c>
      <c r="M1033" s="31">
        <v>66481.19</v>
      </c>
      <c r="N1033" s="31"/>
      <c r="O1033" s="31">
        <v>67163.69</v>
      </c>
      <c r="P1033" s="31">
        <v>66399.489999999991</v>
      </c>
      <c r="Q1033" s="31">
        <v>66481.19</v>
      </c>
      <c r="R1033" s="472">
        <f t="shared" si="415"/>
        <v>-0.19999999999708962</v>
      </c>
      <c r="S1033" s="472">
        <f t="shared" si="416"/>
        <v>-0.19999999999708962</v>
      </c>
      <c r="T1033" s="472">
        <f t="shared" si="417"/>
        <v>-0.19999999999708962</v>
      </c>
      <c r="U1033" s="19" t="s">
        <v>97</v>
      </c>
      <c r="V1033" s="29" t="s">
        <v>17</v>
      </c>
      <c r="W1033" s="30" t="s">
        <v>98</v>
      </c>
      <c r="X1033" s="30" t="s">
        <v>83</v>
      </c>
      <c r="Y1033" s="30" t="s">
        <v>223</v>
      </c>
      <c r="Z1033" s="30" t="s">
        <v>90</v>
      </c>
      <c r="AA1033" s="12" t="b">
        <f t="shared" si="404"/>
        <v>1</v>
      </c>
      <c r="AB1033" s="12" t="b">
        <f t="shared" si="405"/>
        <v>1</v>
      </c>
      <c r="AC1033" s="12" t="b">
        <f t="shared" si="406"/>
        <v>1</v>
      </c>
      <c r="AD1033" s="12" t="b">
        <f t="shared" si="407"/>
        <v>1</v>
      </c>
      <c r="AE1033" s="12" t="b">
        <f t="shared" si="408"/>
        <v>1</v>
      </c>
      <c r="AF1033" s="12" t="b">
        <f t="shared" si="409"/>
        <v>1</v>
      </c>
    </row>
    <row r="1034" spans="1:32" s="12" customFormat="1" ht="15.75" customHeight="1">
      <c r="A1034" s="285"/>
      <c r="B1034" s="20" t="s">
        <v>41</v>
      </c>
      <c r="C1034" s="33" t="s">
        <v>17</v>
      </c>
      <c r="D1034" s="34" t="s">
        <v>98</v>
      </c>
      <c r="E1034" s="34" t="s">
        <v>69</v>
      </c>
      <c r="F1034" s="34" t="s">
        <v>223</v>
      </c>
      <c r="G1034" s="34" t="s">
        <v>90</v>
      </c>
      <c r="H1034" s="35">
        <f t="shared" ref="H1034:J1035" si="418">H1035</f>
        <v>63604.28</v>
      </c>
      <c r="I1034" s="35">
        <f t="shared" si="418"/>
        <v>63655.96</v>
      </c>
      <c r="J1034" s="35">
        <f t="shared" si="418"/>
        <v>63709.71</v>
      </c>
      <c r="K1034" s="35">
        <v>63604.479999999996</v>
      </c>
      <c r="L1034" s="35">
        <v>63656.159999999996</v>
      </c>
      <c r="M1034" s="35">
        <v>63709.909999999996</v>
      </c>
      <c r="N1034" s="35"/>
      <c r="O1034" s="35">
        <v>63604.479999999996</v>
      </c>
      <c r="P1034" s="35">
        <v>63656.159999999996</v>
      </c>
      <c r="Q1034" s="35">
        <v>63709.909999999996</v>
      </c>
      <c r="R1034" s="472">
        <f t="shared" si="415"/>
        <v>-0.19999999999708962</v>
      </c>
      <c r="S1034" s="472">
        <f t="shared" si="416"/>
        <v>-0.19999999999708962</v>
      </c>
      <c r="T1034" s="472">
        <f t="shared" si="417"/>
        <v>-0.19999999999708962</v>
      </c>
      <c r="U1034" s="20" t="s">
        <v>41</v>
      </c>
      <c r="V1034" s="33" t="s">
        <v>17</v>
      </c>
      <c r="W1034" s="34" t="s">
        <v>98</v>
      </c>
      <c r="X1034" s="34" t="s">
        <v>69</v>
      </c>
      <c r="Y1034" s="34" t="s">
        <v>223</v>
      </c>
      <c r="Z1034" s="34" t="s">
        <v>90</v>
      </c>
      <c r="AA1034" s="12" t="b">
        <f t="shared" si="404"/>
        <v>1</v>
      </c>
      <c r="AB1034" s="12" t="b">
        <f t="shared" si="405"/>
        <v>1</v>
      </c>
      <c r="AC1034" s="12" t="b">
        <f t="shared" si="406"/>
        <v>1</v>
      </c>
      <c r="AD1034" s="12" t="b">
        <f t="shared" si="407"/>
        <v>1</v>
      </c>
      <c r="AE1034" s="12" t="b">
        <f t="shared" si="408"/>
        <v>1</v>
      </c>
      <c r="AF1034" s="12" t="b">
        <f t="shared" si="409"/>
        <v>1</v>
      </c>
    </row>
    <row r="1035" spans="1:32" s="12" customFormat="1" ht="15.75" customHeight="1">
      <c r="A1035" s="285"/>
      <c r="B1035" s="182" t="s">
        <v>181</v>
      </c>
      <c r="C1035" s="37" t="s">
        <v>17</v>
      </c>
      <c r="D1035" s="37" t="s">
        <v>98</v>
      </c>
      <c r="E1035" s="37" t="s">
        <v>69</v>
      </c>
      <c r="F1035" s="37" t="s">
        <v>485</v>
      </c>
      <c r="G1035" s="37" t="s">
        <v>90</v>
      </c>
      <c r="H1035" s="183">
        <f t="shared" si="418"/>
        <v>63604.28</v>
      </c>
      <c r="I1035" s="183">
        <f t="shared" si="418"/>
        <v>63655.96</v>
      </c>
      <c r="J1035" s="183">
        <f t="shared" si="418"/>
        <v>63709.71</v>
      </c>
      <c r="K1035" s="183">
        <v>63604.479999999996</v>
      </c>
      <c r="L1035" s="183">
        <v>63656.159999999996</v>
      </c>
      <c r="M1035" s="183">
        <v>63709.909999999996</v>
      </c>
      <c r="N1035" s="183"/>
      <c r="O1035" s="183">
        <v>63604.479999999996</v>
      </c>
      <c r="P1035" s="183">
        <v>63656.159999999996</v>
      </c>
      <c r="Q1035" s="183">
        <v>63709.909999999996</v>
      </c>
      <c r="R1035" s="472">
        <f t="shared" si="415"/>
        <v>-0.19999999999708962</v>
      </c>
      <c r="S1035" s="472">
        <f t="shared" si="416"/>
        <v>-0.19999999999708962</v>
      </c>
      <c r="T1035" s="472">
        <f t="shared" si="417"/>
        <v>-0.19999999999708962</v>
      </c>
      <c r="U1035" s="182" t="s">
        <v>181</v>
      </c>
      <c r="V1035" s="37" t="s">
        <v>17</v>
      </c>
      <c r="W1035" s="37" t="s">
        <v>98</v>
      </c>
      <c r="X1035" s="37" t="s">
        <v>69</v>
      </c>
      <c r="Y1035" s="37" t="s">
        <v>485</v>
      </c>
      <c r="Z1035" s="37" t="s">
        <v>90</v>
      </c>
      <c r="AA1035" s="12" t="b">
        <f t="shared" si="404"/>
        <v>1</v>
      </c>
      <c r="AB1035" s="12" t="b">
        <f t="shared" si="405"/>
        <v>1</v>
      </c>
      <c r="AC1035" s="12" t="b">
        <f t="shared" si="406"/>
        <v>1</v>
      </c>
      <c r="AD1035" s="12" t="b">
        <f t="shared" si="407"/>
        <v>1</v>
      </c>
      <c r="AE1035" s="12" t="b">
        <f t="shared" si="408"/>
        <v>1</v>
      </c>
      <c r="AF1035" s="12" t="b">
        <f t="shared" si="409"/>
        <v>1</v>
      </c>
    </row>
    <row r="1036" spans="1:32" s="12" customFormat="1" ht="15.75" customHeight="1">
      <c r="A1036" s="285"/>
      <c r="B1036" s="182" t="s">
        <v>182</v>
      </c>
      <c r="C1036" s="37" t="s">
        <v>17</v>
      </c>
      <c r="D1036" s="37" t="s">
        <v>98</v>
      </c>
      <c r="E1036" s="37" t="s">
        <v>69</v>
      </c>
      <c r="F1036" s="37" t="s">
        <v>486</v>
      </c>
      <c r="G1036" s="37" t="s">
        <v>90</v>
      </c>
      <c r="H1036" s="58">
        <f>H1046+H1043+H1041+H1037</f>
        <v>63604.28</v>
      </c>
      <c r="I1036" s="58">
        <f t="shared" ref="I1036:J1036" si="419">I1046+I1043+I1041+I1037</f>
        <v>63655.96</v>
      </c>
      <c r="J1036" s="58">
        <f t="shared" si="419"/>
        <v>63709.71</v>
      </c>
      <c r="K1036" s="58">
        <v>63604.479999999996</v>
      </c>
      <c r="L1036" s="58">
        <v>63656.159999999996</v>
      </c>
      <c r="M1036" s="58">
        <v>63709.909999999996</v>
      </c>
      <c r="N1036" s="58"/>
      <c r="O1036" s="58">
        <v>63604.479999999996</v>
      </c>
      <c r="P1036" s="58">
        <v>63656.159999999996</v>
      </c>
      <c r="Q1036" s="58">
        <v>63709.909999999996</v>
      </c>
      <c r="R1036" s="472">
        <f t="shared" si="415"/>
        <v>-0.19999999999708962</v>
      </c>
      <c r="S1036" s="472">
        <f t="shared" si="416"/>
        <v>-0.19999999999708962</v>
      </c>
      <c r="T1036" s="472">
        <f t="shared" si="417"/>
        <v>-0.19999999999708962</v>
      </c>
      <c r="U1036" s="182" t="s">
        <v>182</v>
      </c>
      <c r="V1036" s="37" t="s">
        <v>17</v>
      </c>
      <c r="W1036" s="37" t="s">
        <v>98</v>
      </c>
      <c r="X1036" s="37" t="s">
        <v>69</v>
      </c>
      <c r="Y1036" s="37" t="s">
        <v>486</v>
      </c>
      <c r="Z1036" s="37" t="s">
        <v>90</v>
      </c>
      <c r="AA1036" s="12" t="b">
        <f t="shared" si="404"/>
        <v>1</v>
      </c>
      <c r="AB1036" s="12" t="b">
        <f t="shared" si="405"/>
        <v>1</v>
      </c>
      <c r="AC1036" s="12" t="b">
        <f t="shared" si="406"/>
        <v>1</v>
      </c>
      <c r="AD1036" s="12" t="b">
        <f t="shared" si="407"/>
        <v>1</v>
      </c>
      <c r="AE1036" s="12" t="b">
        <f t="shared" si="408"/>
        <v>1</v>
      </c>
      <c r="AF1036" s="12" t="b">
        <f t="shared" si="409"/>
        <v>1</v>
      </c>
    </row>
    <row r="1037" spans="1:32" s="12" customFormat="1" ht="15.75" customHeight="1">
      <c r="A1037" s="285"/>
      <c r="B1037" s="182" t="s">
        <v>151</v>
      </c>
      <c r="C1037" s="37" t="s">
        <v>17</v>
      </c>
      <c r="D1037" s="37" t="s">
        <v>98</v>
      </c>
      <c r="E1037" s="37" t="s">
        <v>69</v>
      </c>
      <c r="F1037" s="37" t="s">
        <v>487</v>
      </c>
      <c r="G1037" s="37" t="s">
        <v>90</v>
      </c>
      <c r="H1037" s="58">
        <f>H1038+H1039+H1040</f>
        <v>5221.49</v>
      </c>
      <c r="I1037" s="58">
        <f>I1038+I1039+I1040</f>
        <v>5273.17</v>
      </c>
      <c r="J1037" s="58">
        <f>J1038+J1039+J1040</f>
        <v>5326.92</v>
      </c>
      <c r="K1037" s="58">
        <v>5221.49</v>
      </c>
      <c r="L1037" s="58">
        <v>5273.17</v>
      </c>
      <c r="M1037" s="58">
        <v>5326.92</v>
      </c>
      <c r="N1037" s="58"/>
      <c r="O1037" s="58">
        <v>5221.49</v>
      </c>
      <c r="P1037" s="58">
        <v>5273.17</v>
      </c>
      <c r="Q1037" s="58">
        <v>5326.92</v>
      </c>
      <c r="R1037" s="472">
        <f t="shared" si="415"/>
        <v>0</v>
      </c>
      <c r="S1037" s="472">
        <f t="shared" si="416"/>
        <v>0</v>
      </c>
      <c r="T1037" s="472">
        <f t="shared" si="417"/>
        <v>0</v>
      </c>
      <c r="U1037" s="182" t="s">
        <v>151</v>
      </c>
      <c r="V1037" s="37" t="s">
        <v>17</v>
      </c>
      <c r="W1037" s="37" t="s">
        <v>98</v>
      </c>
      <c r="X1037" s="37" t="s">
        <v>69</v>
      </c>
      <c r="Y1037" s="37" t="s">
        <v>487</v>
      </c>
      <c r="Z1037" s="37" t="s">
        <v>90</v>
      </c>
      <c r="AA1037" s="12" t="b">
        <f t="shared" si="404"/>
        <v>1</v>
      </c>
      <c r="AB1037" s="12" t="b">
        <f t="shared" si="405"/>
        <v>1</v>
      </c>
      <c r="AC1037" s="12" t="b">
        <f t="shared" si="406"/>
        <v>1</v>
      </c>
      <c r="AD1037" s="12" t="b">
        <f t="shared" si="407"/>
        <v>1</v>
      </c>
      <c r="AE1037" s="12" t="b">
        <f t="shared" si="408"/>
        <v>1</v>
      </c>
      <c r="AF1037" s="12" t="b">
        <f t="shared" si="409"/>
        <v>1</v>
      </c>
    </row>
    <row r="1038" spans="1:32" s="80" customFormat="1" ht="15.75" customHeight="1">
      <c r="A1038" s="294"/>
      <c r="B1038" s="182" t="s">
        <v>144</v>
      </c>
      <c r="C1038" s="37" t="s">
        <v>17</v>
      </c>
      <c r="D1038" s="37" t="s">
        <v>98</v>
      </c>
      <c r="E1038" s="37" t="s">
        <v>69</v>
      </c>
      <c r="F1038" s="37" t="s">
        <v>487</v>
      </c>
      <c r="G1038" s="37" t="s">
        <v>152</v>
      </c>
      <c r="H1038" s="183">
        <f>836.55+16.62</f>
        <v>853.17</v>
      </c>
      <c r="I1038" s="183">
        <f>836.55+16.62</f>
        <v>853.17</v>
      </c>
      <c r="J1038" s="183">
        <f>836.55+16.62</f>
        <v>853.17</v>
      </c>
      <c r="K1038" s="183">
        <v>853.17</v>
      </c>
      <c r="L1038" s="183">
        <v>853.17</v>
      </c>
      <c r="M1038" s="183">
        <v>853.17</v>
      </c>
      <c r="N1038" s="183"/>
      <c r="O1038" s="183">
        <v>853.17</v>
      </c>
      <c r="P1038" s="183">
        <v>853.17</v>
      </c>
      <c r="Q1038" s="183">
        <v>853.17</v>
      </c>
      <c r="R1038" s="472">
        <f t="shared" si="415"/>
        <v>0</v>
      </c>
      <c r="S1038" s="472">
        <f t="shared" si="416"/>
        <v>0</v>
      </c>
      <c r="T1038" s="472">
        <f t="shared" si="417"/>
        <v>0</v>
      </c>
      <c r="U1038" s="182" t="s">
        <v>144</v>
      </c>
      <c r="V1038" s="37" t="s">
        <v>17</v>
      </c>
      <c r="W1038" s="37" t="s">
        <v>98</v>
      </c>
      <c r="X1038" s="37" t="s">
        <v>69</v>
      </c>
      <c r="Y1038" s="37" t="s">
        <v>487</v>
      </c>
      <c r="Z1038" s="37" t="s">
        <v>152</v>
      </c>
      <c r="AA1038" s="12" t="b">
        <f t="shared" si="404"/>
        <v>1</v>
      </c>
      <c r="AB1038" s="12" t="b">
        <f t="shared" si="405"/>
        <v>1</v>
      </c>
      <c r="AC1038" s="12" t="b">
        <f t="shared" si="406"/>
        <v>1</v>
      </c>
      <c r="AD1038" s="12" t="b">
        <f t="shared" si="407"/>
        <v>1</v>
      </c>
      <c r="AE1038" s="12" t="b">
        <f t="shared" si="408"/>
        <v>1</v>
      </c>
      <c r="AF1038" s="12" t="b">
        <f t="shared" si="409"/>
        <v>1</v>
      </c>
    </row>
    <row r="1039" spans="1:32" s="12" customFormat="1" ht="15.75" customHeight="1">
      <c r="A1039" s="285"/>
      <c r="B1039" s="182" t="s">
        <v>145</v>
      </c>
      <c r="C1039" s="37" t="s">
        <v>17</v>
      </c>
      <c r="D1039" s="37" t="s">
        <v>98</v>
      </c>
      <c r="E1039" s="37" t="s">
        <v>69</v>
      </c>
      <c r="F1039" s="37" t="s">
        <v>487</v>
      </c>
      <c r="G1039" s="37" t="s">
        <v>153</v>
      </c>
      <c r="H1039" s="183">
        <f>4067.75+25.34</f>
        <v>4093.09</v>
      </c>
      <c r="I1039" s="183">
        <f>4067.75+77.02</f>
        <v>4144.7700000000004</v>
      </c>
      <c r="J1039" s="183">
        <f>4067.75+77.02+53.75</f>
        <v>4198.5200000000004</v>
      </c>
      <c r="K1039" s="183">
        <v>4093.09</v>
      </c>
      <c r="L1039" s="183">
        <v>4144.7700000000004</v>
      </c>
      <c r="M1039" s="183">
        <v>4198.5200000000004</v>
      </c>
      <c r="N1039" s="183"/>
      <c r="O1039" s="183">
        <v>4093.09</v>
      </c>
      <c r="P1039" s="183">
        <v>4144.7700000000004</v>
      </c>
      <c r="Q1039" s="183">
        <v>4198.5200000000004</v>
      </c>
      <c r="R1039" s="472">
        <f t="shared" si="415"/>
        <v>0</v>
      </c>
      <c r="S1039" s="472">
        <f t="shared" si="416"/>
        <v>0</v>
      </c>
      <c r="T1039" s="472">
        <f t="shared" si="417"/>
        <v>0</v>
      </c>
      <c r="U1039" s="182" t="s">
        <v>145</v>
      </c>
      <c r="V1039" s="37" t="s">
        <v>17</v>
      </c>
      <c r="W1039" s="37" t="s">
        <v>98</v>
      </c>
      <c r="X1039" s="37" t="s">
        <v>69</v>
      </c>
      <c r="Y1039" s="37" t="s">
        <v>487</v>
      </c>
      <c r="Z1039" s="37" t="s">
        <v>153</v>
      </c>
      <c r="AA1039" s="12" t="b">
        <f t="shared" si="404"/>
        <v>1</v>
      </c>
      <c r="AB1039" s="12" t="b">
        <f t="shared" si="405"/>
        <v>1</v>
      </c>
      <c r="AC1039" s="12" t="b">
        <f t="shared" si="406"/>
        <v>1</v>
      </c>
      <c r="AD1039" s="12" t="b">
        <f t="shared" si="407"/>
        <v>1</v>
      </c>
      <c r="AE1039" s="12" t="b">
        <f t="shared" si="408"/>
        <v>1</v>
      </c>
      <c r="AF1039" s="12" t="b">
        <f t="shared" si="409"/>
        <v>1</v>
      </c>
    </row>
    <row r="1040" spans="1:32" s="12" customFormat="1" ht="15.75" customHeight="1">
      <c r="A1040" s="285"/>
      <c r="B1040" s="182" t="s">
        <v>137</v>
      </c>
      <c r="C1040" s="37" t="s">
        <v>17</v>
      </c>
      <c r="D1040" s="37" t="s">
        <v>98</v>
      </c>
      <c r="E1040" s="37" t="s">
        <v>69</v>
      </c>
      <c r="F1040" s="37" t="s">
        <v>487</v>
      </c>
      <c r="G1040" s="37" t="s">
        <v>155</v>
      </c>
      <c r="H1040" s="183">
        <v>275.23</v>
      </c>
      <c r="I1040" s="183">
        <v>275.23</v>
      </c>
      <c r="J1040" s="183">
        <v>275.23</v>
      </c>
      <c r="K1040" s="183">
        <v>275.23</v>
      </c>
      <c r="L1040" s="183">
        <v>275.23</v>
      </c>
      <c r="M1040" s="183">
        <v>275.23</v>
      </c>
      <c r="N1040" s="183"/>
      <c r="O1040" s="183">
        <v>275.23</v>
      </c>
      <c r="P1040" s="183">
        <v>275.23</v>
      </c>
      <c r="Q1040" s="183">
        <v>275.23</v>
      </c>
      <c r="R1040" s="472">
        <f t="shared" si="415"/>
        <v>0</v>
      </c>
      <c r="S1040" s="472">
        <f t="shared" si="416"/>
        <v>0</v>
      </c>
      <c r="T1040" s="472">
        <f t="shared" si="417"/>
        <v>0</v>
      </c>
      <c r="U1040" s="182" t="s">
        <v>137</v>
      </c>
      <c r="V1040" s="37" t="s">
        <v>17</v>
      </c>
      <c r="W1040" s="37" t="s">
        <v>98</v>
      </c>
      <c r="X1040" s="37" t="s">
        <v>69</v>
      </c>
      <c r="Y1040" s="37" t="s">
        <v>487</v>
      </c>
      <c r="Z1040" s="37" t="s">
        <v>155</v>
      </c>
      <c r="AA1040" s="12" t="b">
        <f t="shared" si="404"/>
        <v>1</v>
      </c>
      <c r="AB1040" s="12" t="b">
        <f t="shared" si="405"/>
        <v>1</v>
      </c>
      <c r="AC1040" s="12" t="b">
        <f t="shared" si="406"/>
        <v>1</v>
      </c>
      <c r="AD1040" s="12" t="b">
        <f t="shared" si="407"/>
        <v>1</v>
      </c>
      <c r="AE1040" s="12" t="b">
        <f t="shared" si="408"/>
        <v>1</v>
      </c>
      <c r="AF1040" s="12" t="b">
        <f t="shared" si="409"/>
        <v>1</v>
      </c>
    </row>
    <row r="1041" spans="1:32" s="15" customFormat="1" ht="15.75" customHeight="1">
      <c r="A1041" s="292"/>
      <c r="B1041" s="54" t="s">
        <v>443</v>
      </c>
      <c r="C1041" s="57" t="s">
        <v>17</v>
      </c>
      <c r="D1041" s="57" t="s">
        <v>98</v>
      </c>
      <c r="E1041" s="57" t="s">
        <v>69</v>
      </c>
      <c r="F1041" s="57" t="s">
        <v>488</v>
      </c>
      <c r="G1041" s="57" t="s">
        <v>90</v>
      </c>
      <c r="H1041" s="58">
        <f>H1042</f>
        <v>53999.74</v>
      </c>
      <c r="I1041" s="58">
        <f>I1042</f>
        <v>53999.74</v>
      </c>
      <c r="J1041" s="58">
        <f>J1042</f>
        <v>53999.74</v>
      </c>
      <c r="K1041" s="58">
        <v>53999.74</v>
      </c>
      <c r="L1041" s="58">
        <v>53999.74</v>
      </c>
      <c r="M1041" s="58">
        <v>53999.74</v>
      </c>
      <c r="N1041" s="58"/>
      <c r="O1041" s="58">
        <v>53999.74</v>
      </c>
      <c r="P1041" s="58">
        <v>53999.74</v>
      </c>
      <c r="Q1041" s="58">
        <v>53999.74</v>
      </c>
      <c r="R1041" s="472">
        <f t="shared" si="415"/>
        <v>0</v>
      </c>
      <c r="S1041" s="472">
        <f t="shared" si="416"/>
        <v>0</v>
      </c>
      <c r="T1041" s="472">
        <f t="shared" si="417"/>
        <v>0</v>
      </c>
      <c r="U1041" s="54" t="s">
        <v>443</v>
      </c>
      <c r="V1041" s="57" t="s">
        <v>17</v>
      </c>
      <c r="W1041" s="57" t="s">
        <v>98</v>
      </c>
      <c r="X1041" s="57" t="s">
        <v>69</v>
      </c>
      <c r="Y1041" s="57" t="s">
        <v>488</v>
      </c>
      <c r="Z1041" s="57" t="s">
        <v>90</v>
      </c>
      <c r="AA1041" s="12" t="b">
        <f t="shared" si="404"/>
        <v>1</v>
      </c>
      <c r="AB1041" s="12" t="b">
        <f t="shared" si="405"/>
        <v>1</v>
      </c>
      <c r="AC1041" s="12" t="b">
        <f t="shared" si="406"/>
        <v>1</v>
      </c>
      <c r="AD1041" s="12" t="b">
        <f t="shared" si="407"/>
        <v>1</v>
      </c>
      <c r="AE1041" s="12" t="b">
        <f t="shared" si="408"/>
        <v>1</v>
      </c>
      <c r="AF1041" s="12" t="b">
        <f t="shared" si="409"/>
        <v>1</v>
      </c>
    </row>
    <row r="1042" spans="1:32" s="12" customFormat="1" ht="15.75" customHeight="1">
      <c r="A1042" s="285"/>
      <c r="B1042" s="182" t="s">
        <v>144</v>
      </c>
      <c r="C1042" s="37" t="s">
        <v>17</v>
      </c>
      <c r="D1042" s="37" t="s">
        <v>98</v>
      </c>
      <c r="E1042" s="37" t="s">
        <v>69</v>
      </c>
      <c r="F1042" s="37" t="s">
        <v>488</v>
      </c>
      <c r="G1042" s="37" t="s">
        <v>152</v>
      </c>
      <c r="H1042" s="183">
        <f>47825.72+4785.38+493.45+865.04+30.15</f>
        <v>53999.74</v>
      </c>
      <c r="I1042" s="183">
        <f>47825.72+4785.38+493.45+865.04+30.15</f>
        <v>53999.74</v>
      </c>
      <c r="J1042" s="183">
        <f>47825.72+4785.38+493.45+865.04+30.15</f>
        <v>53999.74</v>
      </c>
      <c r="K1042" s="183">
        <v>53999.74</v>
      </c>
      <c r="L1042" s="183">
        <v>53999.74</v>
      </c>
      <c r="M1042" s="183">
        <v>53999.74</v>
      </c>
      <c r="N1042" s="183"/>
      <c r="O1042" s="183">
        <v>53999.74</v>
      </c>
      <c r="P1042" s="183">
        <v>53999.74</v>
      </c>
      <c r="Q1042" s="183">
        <v>53999.74</v>
      </c>
      <c r="R1042" s="472">
        <f t="shared" si="415"/>
        <v>0</v>
      </c>
      <c r="S1042" s="472">
        <f t="shared" si="416"/>
        <v>0</v>
      </c>
      <c r="T1042" s="472">
        <f t="shared" si="417"/>
        <v>0</v>
      </c>
      <c r="U1042" s="182" t="s">
        <v>144</v>
      </c>
      <c r="V1042" s="37" t="s">
        <v>17</v>
      </c>
      <c r="W1042" s="37" t="s">
        <v>98</v>
      </c>
      <c r="X1042" s="37" t="s">
        <v>69</v>
      </c>
      <c r="Y1042" s="37" t="s">
        <v>488</v>
      </c>
      <c r="Z1042" s="37" t="s">
        <v>152</v>
      </c>
      <c r="AA1042" s="12" t="b">
        <f t="shared" si="404"/>
        <v>1</v>
      </c>
      <c r="AB1042" s="12" t="b">
        <f t="shared" si="405"/>
        <v>1</v>
      </c>
      <c r="AC1042" s="12" t="b">
        <f t="shared" si="406"/>
        <v>1</v>
      </c>
      <c r="AD1042" s="12" t="b">
        <f t="shared" si="407"/>
        <v>1</v>
      </c>
      <c r="AE1042" s="12" t="b">
        <f t="shared" si="408"/>
        <v>1</v>
      </c>
      <c r="AF1042" s="12" t="b">
        <f t="shared" si="409"/>
        <v>1</v>
      </c>
    </row>
    <row r="1043" spans="1:32" s="15" customFormat="1" ht="15.75" customHeight="1">
      <c r="A1043" s="285" t="s">
        <v>799</v>
      </c>
      <c r="B1043" s="182" t="s">
        <v>848</v>
      </c>
      <c r="C1043" s="57" t="s">
        <v>17</v>
      </c>
      <c r="D1043" s="57" t="s">
        <v>98</v>
      </c>
      <c r="E1043" s="57" t="s">
        <v>69</v>
      </c>
      <c r="F1043" s="57" t="s">
        <v>489</v>
      </c>
      <c r="G1043" s="57" t="s">
        <v>90</v>
      </c>
      <c r="H1043" s="58">
        <f>H1044+H1045</f>
        <v>3047.3500000000004</v>
      </c>
      <c r="I1043" s="58">
        <f t="shared" ref="I1043:J1043" si="420">I1044+I1045</f>
        <v>3047.3500000000004</v>
      </c>
      <c r="J1043" s="58">
        <f t="shared" si="420"/>
        <v>3047.3500000000004</v>
      </c>
      <c r="K1043" s="58">
        <v>3047.3500000000004</v>
      </c>
      <c r="L1043" s="58">
        <v>3047.3500000000004</v>
      </c>
      <c r="M1043" s="58">
        <v>3047.3500000000004</v>
      </c>
      <c r="N1043" s="58"/>
      <c r="O1043" s="183">
        <v>3047.3500000000004</v>
      </c>
      <c r="P1043" s="183">
        <v>3047.3500000000004</v>
      </c>
      <c r="Q1043" s="183">
        <v>3047.3500000000004</v>
      </c>
      <c r="R1043" s="472">
        <f t="shared" si="415"/>
        <v>0</v>
      </c>
      <c r="S1043" s="472">
        <f t="shared" si="416"/>
        <v>0</v>
      </c>
      <c r="T1043" s="472">
        <f t="shared" si="417"/>
        <v>0</v>
      </c>
      <c r="U1043" s="182" t="s">
        <v>848</v>
      </c>
      <c r="V1043" s="57" t="s">
        <v>17</v>
      </c>
      <c r="W1043" s="57" t="s">
        <v>98</v>
      </c>
      <c r="X1043" s="57" t="s">
        <v>69</v>
      </c>
      <c r="Y1043" s="57" t="s">
        <v>489</v>
      </c>
      <c r="Z1043" s="57" t="s">
        <v>90</v>
      </c>
      <c r="AA1043" s="12" t="b">
        <f t="shared" si="404"/>
        <v>1</v>
      </c>
      <c r="AB1043" s="12" t="b">
        <f t="shared" si="405"/>
        <v>1</v>
      </c>
      <c r="AC1043" s="12" t="b">
        <f t="shared" si="406"/>
        <v>1</v>
      </c>
      <c r="AD1043" s="12" t="b">
        <f t="shared" si="407"/>
        <v>1</v>
      </c>
      <c r="AE1043" s="12" t="b">
        <f t="shared" si="408"/>
        <v>1</v>
      </c>
      <c r="AF1043" s="12" t="b">
        <f t="shared" si="409"/>
        <v>1</v>
      </c>
    </row>
    <row r="1044" spans="1:32" s="80" customFormat="1" ht="15.75" customHeight="1">
      <c r="A1044" s="294" t="s">
        <v>964</v>
      </c>
      <c r="B1044" s="54" t="s">
        <v>144</v>
      </c>
      <c r="C1044" s="57" t="s">
        <v>17</v>
      </c>
      <c r="D1044" s="57" t="s">
        <v>98</v>
      </c>
      <c r="E1044" s="57" t="s">
        <v>69</v>
      </c>
      <c r="F1044" s="57" t="s">
        <v>489</v>
      </c>
      <c r="G1044" s="57" t="s">
        <v>152</v>
      </c>
      <c r="H1044" s="58">
        <v>2876.09</v>
      </c>
      <c r="I1044" s="58">
        <v>2876.09</v>
      </c>
      <c r="J1044" s="58">
        <v>2876.09</v>
      </c>
      <c r="K1044" s="58">
        <v>2876.09</v>
      </c>
      <c r="L1044" s="58">
        <v>2876.09</v>
      </c>
      <c r="M1044" s="58">
        <v>2876.09</v>
      </c>
      <c r="N1044" s="58"/>
      <c r="O1044" s="58">
        <v>2876.09</v>
      </c>
      <c r="P1044" s="58">
        <v>2876.09</v>
      </c>
      <c r="Q1044" s="58">
        <v>2876.09</v>
      </c>
      <c r="R1044" s="472">
        <f t="shared" si="415"/>
        <v>0</v>
      </c>
      <c r="S1044" s="472">
        <f t="shared" si="416"/>
        <v>0</v>
      </c>
      <c r="T1044" s="472">
        <f t="shared" si="417"/>
        <v>0</v>
      </c>
      <c r="U1044" s="54" t="s">
        <v>144</v>
      </c>
      <c r="V1044" s="57" t="s">
        <v>17</v>
      </c>
      <c r="W1044" s="57" t="s">
        <v>98</v>
      </c>
      <c r="X1044" s="57" t="s">
        <v>69</v>
      </c>
      <c r="Y1044" s="57" t="s">
        <v>489</v>
      </c>
      <c r="Z1044" s="57" t="s">
        <v>152</v>
      </c>
      <c r="AA1044" s="12" t="b">
        <f t="shared" si="404"/>
        <v>1</v>
      </c>
      <c r="AB1044" s="12" t="b">
        <f t="shared" si="405"/>
        <v>1</v>
      </c>
      <c r="AC1044" s="12" t="b">
        <f t="shared" si="406"/>
        <v>1</v>
      </c>
      <c r="AD1044" s="12" t="b">
        <f t="shared" si="407"/>
        <v>1</v>
      </c>
      <c r="AE1044" s="12" t="b">
        <f t="shared" si="408"/>
        <v>1</v>
      </c>
      <c r="AF1044" s="12" t="b">
        <f t="shared" si="409"/>
        <v>1</v>
      </c>
    </row>
    <row r="1045" spans="1:32" s="80" customFormat="1" ht="15.75" customHeight="1">
      <c r="A1045" s="294" t="s">
        <v>964</v>
      </c>
      <c r="B1045" s="182" t="s">
        <v>145</v>
      </c>
      <c r="C1045" s="37" t="s">
        <v>17</v>
      </c>
      <c r="D1045" s="37" t="s">
        <v>98</v>
      </c>
      <c r="E1045" s="37" t="s">
        <v>69</v>
      </c>
      <c r="F1045" s="37" t="s">
        <v>489</v>
      </c>
      <c r="G1045" s="37" t="s">
        <v>153</v>
      </c>
      <c r="H1045" s="183">
        <v>171.26</v>
      </c>
      <c r="I1045" s="183">
        <v>171.26</v>
      </c>
      <c r="J1045" s="183">
        <v>171.26</v>
      </c>
      <c r="K1045" s="183">
        <v>171.26</v>
      </c>
      <c r="L1045" s="183">
        <v>171.26</v>
      </c>
      <c r="M1045" s="183">
        <v>171.26</v>
      </c>
      <c r="N1045" s="183"/>
      <c r="O1045" s="183">
        <v>171.26</v>
      </c>
      <c r="P1045" s="183">
        <v>171.26</v>
      </c>
      <c r="Q1045" s="183">
        <v>171.26</v>
      </c>
      <c r="R1045" s="472">
        <f t="shared" si="415"/>
        <v>0</v>
      </c>
      <c r="S1045" s="472">
        <f t="shared" si="416"/>
        <v>0</v>
      </c>
      <c r="T1045" s="472">
        <f t="shared" si="417"/>
        <v>0</v>
      </c>
      <c r="U1045" s="182" t="s">
        <v>145</v>
      </c>
      <c r="V1045" s="37" t="s">
        <v>17</v>
      </c>
      <c r="W1045" s="37" t="s">
        <v>98</v>
      </c>
      <c r="X1045" s="37" t="s">
        <v>69</v>
      </c>
      <c r="Y1045" s="37" t="s">
        <v>489</v>
      </c>
      <c r="Z1045" s="37" t="s">
        <v>153</v>
      </c>
      <c r="AA1045" s="12" t="b">
        <f t="shared" si="404"/>
        <v>1</v>
      </c>
      <c r="AB1045" s="12" t="b">
        <f t="shared" si="405"/>
        <v>1</v>
      </c>
      <c r="AC1045" s="12" t="b">
        <f t="shared" si="406"/>
        <v>1</v>
      </c>
      <c r="AD1045" s="12" t="b">
        <f t="shared" si="407"/>
        <v>1</v>
      </c>
      <c r="AE1045" s="12" t="b">
        <f t="shared" si="408"/>
        <v>1</v>
      </c>
      <c r="AF1045" s="12" t="b">
        <f t="shared" si="409"/>
        <v>1</v>
      </c>
    </row>
    <row r="1046" spans="1:32" s="15" customFormat="1" ht="15.75" customHeight="1">
      <c r="A1046" s="285" t="s">
        <v>799</v>
      </c>
      <c r="B1046" s="54" t="s">
        <v>849</v>
      </c>
      <c r="C1046" s="57" t="s">
        <v>17</v>
      </c>
      <c r="D1046" s="57" t="s">
        <v>98</v>
      </c>
      <c r="E1046" s="57" t="s">
        <v>69</v>
      </c>
      <c r="F1046" s="57" t="s">
        <v>490</v>
      </c>
      <c r="G1046" s="57" t="s">
        <v>90</v>
      </c>
      <c r="H1046" s="183">
        <f>H1047</f>
        <v>1335.7</v>
      </c>
      <c r="I1046" s="183">
        <f t="shared" ref="I1046:J1046" si="421">I1047</f>
        <v>1335.7</v>
      </c>
      <c r="J1046" s="183">
        <f t="shared" si="421"/>
        <v>1335.7</v>
      </c>
      <c r="K1046" s="183">
        <v>1335.9</v>
      </c>
      <c r="L1046" s="183">
        <v>1335.9</v>
      </c>
      <c r="M1046" s="183">
        <v>1335.9</v>
      </c>
      <c r="N1046" s="183"/>
      <c r="O1046" s="58">
        <v>1335.9</v>
      </c>
      <c r="P1046" s="58">
        <v>1335.9</v>
      </c>
      <c r="Q1046" s="58">
        <v>1335.9</v>
      </c>
      <c r="R1046" s="472">
        <f t="shared" si="415"/>
        <v>-0.20000000000004547</v>
      </c>
      <c r="S1046" s="472">
        <f t="shared" si="416"/>
        <v>-0.20000000000004547</v>
      </c>
      <c r="T1046" s="472">
        <f t="shared" si="417"/>
        <v>-0.20000000000004547</v>
      </c>
      <c r="U1046" s="54" t="s">
        <v>849</v>
      </c>
      <c r="V1046" s="57" t="s">
        <v>17</v>
      </c>
      <c r="W1046" s="57" t="s">
        <v>98</v>
      </c>
      <c r="X1046" s="57" t="s">
        <v>69</v>
      </c>
      <c r="Y1046" s="57" t="s">
        <v>490</v>
      </c>
      <c r="Z1046" s="57" t="s">
        <v>90</v>
      </c>
      <c r="AA1046" s="12" t="b">
        <f t="shared" si="404"/>
        <v>1</v>
      </c>
      <c r="AB1046" s="12" t="b">
        <f t="shared" si="405"/>
        <v>1</v>
      </c>
      <c r="AC1046" s="12" t="b">
        <f t="shared" si="406"/>
        <v>1</v>
      </c>
      <c r="AD1046" s="12" t="b">
        <f t="shared" si="407"/>
        <v>1</v>
      </c>
      <c r="AE1046" s="12" t="b">
        <f t="shared" si="408"/>
        <v>1</v>
      </c>
      <c r="AF1046" s="12" t="b">
        <f t="shared" si="409"/>
        <v>1</v>
      </c>
    </row>
    <row r="1047" spans="1:32" s="80" customFormat="1" ht="15.75" customHeight="1">
      <c r="A1047" s="294" t="s">
        <v>964</v>
      </c>
      <c r="B1047" s="182" t="s">
        <v>145</v>
      </c>
      <c r="C1047" s="37" t="s">
        <v>17</v>
      </c>
      <c r="D1047" s="37" t="s">
        <v>98</v>
      </c>
      <c r="E1047" s="37" t="s">
        <v>69</v>
      </c>
      <c r="F1047" s="37" t="s">
        <v>490</v>
      </c>
      <c r="G1047" s="37" t="s">
        <v>153</v>
      </c>
      <c r="H1047" s="183">
        <f>1335.9-0.2</f>
        <v>1335.7</v>
      </c>
      <c r="I1047" s="183">
        <f>1335.9-0.2</f>
        <v>1335.7</v>
      </c>
      <c r="J1047" s="183">
        <f>1335.9-0.2</f>
        <v>1335.7</v>
      </c>
      <c r="K1047" s="183">
        <v>1335.9</v>
      </c>
      <c r="L1047" s="183">
        <v>1335.9</v>
      </c>
      <c r="M1047" s="183">
        <v>1335.9</v>
      </c>
      <c r="N1047" s="183"/>
      <c r="O1047" s="183">
        <v>1335.9</v>
      </c>
      <c r="P1047" s="183">
        <v>1335.9</v>
      </c>
      <c r="Q1047" s="183">
        <v>1335.9</v>
      </c>
      <c r="R1047" s="472">
        <f t="shared" si="415"/>
        <v>-0.20000000000004547</v>
      </c>
      <c r="S1047" s="472">
        <f t="shared" si="416"/>
        <v>-0.20000000000004547</v>
      </c>
      <c r="T1047" s="472">
        <f t="shared" si="417"/>
        <v>-0.20000000000004547</v>
      </c>
      <c r="U1047" s="182" t="s">
        <v>145</v>
      </c>
      <c r="V1047" s="37" t="s">
        <v>17</v>
      </c>
      <c r="W1047" s="37" t="s">
        <v>98</v>
      </c>
      <c r="X1047" s="37" t="s">
        <v>69</v>
      </c>
      <c r="Y1047" s="37" t="s">
        <v>490</v>
      </c>
      <c r="Z1047" s="37" t="s">
        <v>153</v>
      </c>
      <c r="AA1047" s="12" t="b">
        <f t="shared" si="404"/>
        <v>1</v>
      </c>
      <c r="AB1047" s="12" t="b">
        <f t="shared" si="405"/>
        <v>1</v>
      </c>
      <c r="AC1047" s="12" t="b">
        <f t="shared" si="406"/>
        <v>1</v>
      </c>
      <c r="AD1047" s="12" t="b">
        <f t="shared" si="407"/>
        <v>1</v>
      </c>
      <c r="AE1047" s="12" t="b">
        <f t="shared" si="408"/>
        <v>1</v>
      </c>
      <c r="AF1047" s="12" t="b">
        <f t="shared" si="409"/>
        <v>1</v>
      </c>
    </row>
    <row r="1048" spans="1:32" s="12" customFormat="1" ht="15.75" customHeight="1">
      <c r="A1048" s="285"/>
      <c r="B1048" s="81" t="s">
        <v>70</v>
      </c>
      <c r="C1048" s="33" t="s">
        <v>17</v>
      </c>
      <c r="D1048" s="34" t="s">
        <v>98</v>
      </c>
      <c r="E1048" s="34" t="s">
        <v>124</v>
      </c>
      <c r="F1048" s="34" t="s">
        <v>223</v>
      </c>
      <c r="G1048" s="34" t="s">
        <v>90</v>
      </c>
      <c r="H1048" s="35">
        <f>H1049+H1056</f>
        <v>3559.21</v>
      </c>
      <c r="I1048" s="35">
        <f>I1049+I1056</f>
        <v>2743.33</v>
      </c>
      <c r="J1048" s="35">
        <f>J1049+J1056</f>
        <v>2771.28</v>
      </c>
      <c r="K1048" s="35">
        <v>3559.21</v>
      </c>
      <c r="L1048" s="35">
        <v>2743.33</v>
      </c>
      <c r="M1048" s="35">
        <v>2771.28</v>
      </c>
      <c r="N1048" s="35"/>
      <c r="O1048" s="35">
        <v>3559.21</v>
      </c>
      <c r="P1048" s="35">
        <v>2743.33</v>
      </c>
      <c r="Q1048" s="35">
        <v>2771.28</v>
      </c>
      <c r="R1048" s="472">
        <f t="shared" si="415"/>
        <v>0</v>
      </c>
      <c r="S1048" s="472">
        <f t="shared" si="416"/>
        <v>0</v>
      </c>
      <c r="T1048" s="472">
        <f t="shared" si="417"/>
        <v>0</v>
      </c>
      <c r="U1048" s="81" t="s">
        <v>70</v>
      </c>
      <c r="V1048" s="33" t="s">
        <v>17</v>
      </c>
      <c r="W1048" s="34" t="s">
        <v>98</v>
      </c>
      <c r="X1048" s="34" t="s">
        <v>124</v>
      </c>
      <c r="Y1048" s="34" t="s">
        <v>223</v>
      </c>
      <c r="Z1048" s="34" t="s">
        <v>90</v>
      </c>
      <c r="AA1048" s="12" t="b">
        <f t="shared" si="404"/>
        <v>1</v>
      </c>
      <c r="AB1048" s="12" t="b">
        <f t="shared" si="405"/>
        <v>1</v>
      </c>
      <c r="AC1048" s="12" t="b">
        <f t="shared" si="406"/>
        <v>1</v>
      </c>
      <c r="AD1048" s="12" t="b">
        <f t="shared" si="407"/>
        <v>1</v>
      </c>
      <c r="AE1048" s="12" t="b">
        <f t="shared" si="408"/>
        <v>1</v>
      </c>
      <c r="AF1048" s="12" t="b">
        <f t="shared" si="409"/>
        <v>1</v>
      </c>
    </row>
    <row r="1049" spans="1:32" s="12" customFormat="1" ht="15.75" customHeight="1">
      <c r="A1049" s="285"/>
      <c r="B1049" s="23" t="s">
        <v>662</v>
      </c>
      <c r="C1049" s="37" t="s">
        <v>17</v>
      </c>
      <c r="D1049" s="37" t="s">
        <v>98</v>
      </c>
      <c r="E1049" s="37" t="s">
        <v>124</v>
      </c>
      <c r="F1049" s="37" t="s">
        <v>282</v>
      </c>
      <c r="G1049" s="37" t="s">
        <v>90</v>
      </c>
      <c r="H1049" s="183">
        <f t="shared" ref="H1049:J1052" si="422">H1050</f>
        <v>2859.21</v>
      </c>
      <c r="I1049" s="183">
        <f t="shared" si="422"/>
        <v>2043.3300000000002</v>
      </c>
      <c r="J1049" s="183">
        <f t="shared" si="422"/>
        <v>2071.2800000000002</v>
      </c>
      <c r="K1049" s="183">
        <v>2859.21</v>
      </c>
      <c r="L1049" s="183">
        <v>2043.3300000000002</v>
      </c>
      <c r="M1049" s="183">
        <v>2071.2800000000002</v>
      </c>
      <c r="N1049" s="183"/>
      <c r="O1049" s="183">
        <v>2859.21</v>
      </c>
      <c r="P1049" s="183">
        <v>2043.3300000000002</v>
      </c>
      <c r="Q1049" s="183">
        <v>2071.2800000000002</v>
      </c>
      <c r="R1049" s="472">
        <f t="shared" si="415"/>
        <v>0</v>
      </c>
      <c r="S1049" s="472">
        <f t="shared" si="416"/>
        <v>0</v>
      </c>
      <c r="T1049" s="472">
        <f t="shared" si="417"/>
        <v>0</v>
      </c>
      <c r="U1049" s="23" t="s">
        <v>662</v>
      </c>
      <c r="V1049" s="37" t="s">
        <v>17</v>
      </c>
      <c r="W1049" s="37" t="s">
        <v>98</v>
      </c>
      <c r="X1049" s="37" t="s">
        <v>124</v>
      </c>
      <c r="Y1049" s="37" t="s">
        <v>282</v>
      </c>
      <c r="Z1049" s="37" t="s">
        <v>90</v>
      </c>
      <c r="AA1049" s="12" t="b">
        <f t="shared" si="404"/>
        <v>1</v>
      </c>
      <c r="AB1049" s="12" t="b">
        <f t="shared" si="405"/>
        <v>1</v>
      </c>
      <c r="AC1049" s="12" t="b">
        <f t="shared" si="406"/>
        <v>1</v>
      </c>
      <c r="AD1049" s="12" t="b">
        <f t="shared" si="407"/>
        <v>1</v>
      </c>
      <c r="AE1049" s="12" t="b">
        <f t="shared" si="408"/>
        <v>1</v>
      </c>
      <c r="AF1049" s="12" t="b">
        <f t="shared" si="409"/>
        <v>1</v>
      </c>
    </row>
    <row r="1050" spans="1:32" s="12" customFormat="1" ht="15.75" customHeight="1">
      <c r="A1050" s="285"/>
      <c r="B1050" s="23" t="s">
        <v>663</v>
      </c>
      <c r="C1050" s="87" t="s">
        <v>17</v>
      </c>
      <c r="D1050" s="37" t="s">
        <v>98</v>
      </c>
      <c r="E1050" s="37" t="s">
        <v>124</v>
      </c>
      <c r="F1050" s="37" t="s">
        <v>283</v>
      </c>
      <c r="G1050" s="37" t="s">
        <v>90</v>
      </c>
      <c r="H1050" s="183">
        <f t="shared" si="422"/>
        <v>2859.21</v>
      </c>
      <c r="I1050" s="183">
        <f t="shared" si="422"/>
        <v>2043.3300000000002</v>
      </c>
      <c r="J1050" s="183">
        <f t="shared" si="422"/>
        <v>2071.2800000000002</v>
      </c>
      <c r="K1050" s="183">
        <v>2859.21</v>
      </c>
      <c r="L1050" s="183">
        <v>2043.3300000000002</v>
      </c>
      <c r="M1050" s="183">
        <v>2071.2800000000002</v>
      </c>
      <c r="N1050" s="183"/>
      <c r="O1050" s="183">
        <v>2859.21</v>
      </c>
      <c r="P1050" s="183">
        <v>2043.3300000000002</v>
      </c>
      <c r="Q1050" s="183">
        <v>2071.2800000000002</v>
      </c>
      <c r="R1050" s="472">
        <f t="shared" si="415"/>
        <v>0</v>
      </c>
      <c r="S1050" s="472">
        <f t="shared" si="416"/>
        <v>0</v>
      </c>
      <c r="T1050" s="472">
        <f t="shared" si="417"/>
        <v>0</v>
      </c>
      <c r="U1050" s="23" t="s">
        <v>663</v>
      </c>
      <c r="V1050" s="87" t="s">
        <v>17</v>
      </c>
      <c r="W1050" s="37" t="s">
        <v>98</v>
      </c>
      <c r="X1050" s="37" t="s">
        <v>124</v>
      </c>
      <c r="Y1050" s="37" t="s">
        <v>283</v>
      </c>
      <c r="Z1050" s="37" t="s">
        <v>90</v>
      </c>
      <c r="AA1050" s="12" t="b">
        <f t="shared" si="404"/>
        <v>1</v>
      </c>
      <c r="AB1050" s="12" t="b">
        <f t="shared" si="405"/>
        <v>1</v>
      </c>
      <c r="AC1050" s="12" t="b">
        <f t="shared" si="406"/>
        <v>1</v>
      </c>
      <c r="AD1050" s="12" t="b">
        <f t="shared" si="407"/>
        <v>1</v>
      </c>
      <c r="AE1050" s="12" t="b">
        <f t="shared" si="408"/>
        <v>1</v>
      </c>
      <c r="AF1050" s="12" t="b">
        <f t="shared" si="409"/>
        <v>1</v>
      </c>
    </row>
    <row r="1051" spans="1:32" s="12" customFormat="1" ht="15.75" customHeight="1">
      <c r="A1051" s="285"/>
      <c r="B1051" s="109" t="s">
        <v>284</v>
      </c>
      <c r="C1051" s="87" t="s">
        <v>17</v>
      </c>
      <c r="D1051" s="37" t="s">
        <v>98</v>
      </c>
      <c r="E1051" s="37" t="s">
        <v>124</v>
      </c>
      <c r="F1051" s="37" t="s">
        <v>287</v>
      </c>
      <c r="G1051" s="37" t="s">
        <v>90</v>
      </c>
      <c r="H1051" s="183">
        <f>H1052+H1054</f>
        <v>2859.21</v>
      </c>
      <c r="I1051" s="183">
        <f>I1052+I1054</f>
        <v>2043.3300000000002</v>
      </c>
      <c r="J1051" s="183">
        <f>J1052+J1054</f>
        <v>2071.2800000000002</v>
      </c>
      <c r="K1051" s="183">
        <v>2859.21</v>
      </c>
      <c r="L1051" s="183">
        <v>2043.3300000000002</v>
      </c>
      <c r="M1051" s="183">
        <v>2071.2800000000002</v>
      </c>
      <c r="N1051" s="183"/>
      <c r="O1051" s="183">
        <v>2859.21</v>
      </c>
      <c r="P1051" s="183">
        <v>2043.3300000000002</v>
      </c>
      <c r="Q1051" s="183">
        <v>2071.2800000000002</v>
      </c>
      <c r="R1051" s="472">
        <f t="shared" si="415"/>
        <v>0</v>
      </c>
      <c r="S1051" s="472">
        <f t="shared" si="416"/>
        <v>0</v>
      </c>
      <c r="T1051" s="472">
        <f t="shared" si="417"/>
        <v>0</v>
      </c>
      <c r="U1051" s="109" t="s">
        <v>284</v>
      </c>
      <c r="V1051" s="87" t="s">
        <v>17</v>
      </c>
      <c r="W1051" s="37" t="s">
        <v>98</v>
      </c>
      <c r="X1051" s="37" t="s">
        <v>124</v>
      </c>
      <c r="Y1051" s="37" t="s">
        <v>287</v>
      </c>
      <c r="Z1051" s="37" t="s">
        <v>90</v>
      </c>
      <c r="AA1051" s="12" t="b">
        <f t="shared" si="404"/>
        <v>1</v>
      </c>
      <c r="AB1051" s="12" t="b">
        <f t="shared" si="405"/>
        <v>1</v>
      </c>
      <c r="AC1051" s="12" t="b">
        <f t="shared" si="406"/>
        <v>1</v>
      </c>
      <c r="AD1051" s="12" t="b">
        <f t="shared" si="407"/>
        <v>1</v>
      </c>
      <c r="AE1051" s="12" t="b">
        <f t="shared" si="408"/>
        <v>1</v>
      </c>
      <c r="AF1051" s="12" t="b">
        <f t="shared" si="409"/>
        <v>1</v>
      </c>
    </row>
    <row r="1052" spans="1:32" s="12" customFormat="1" ht="15.75" customHeight="1">
      <c r="A1052" s="285"/>
      <c r="B1052" s="45" t="s">
        <v>194</v>
      </c>
      <c r="C1052" s="87" t="s">
        <v>17</v>
      </c>
      <c r="D1052" s="37" t="s">
        <v>98</v>
      </c>
      <c r="E1052" s="37" t="s">
        <v>124</v>
      </c>
      <c r="F1052" s="57" t="s">
        <v>957</v>
      </c>
      <c r="G1052" s="37" t="s">
        <v>90</v>
      </c>
      <c r="H1052" s="183">
        <f t="shared" si="422"/>
        <v>2733.2</v>
      </c>
      <c r="I1052" s="183">
        <f t="shared" si="422"/>
        <v>1917.3200000000002</v>
      </c>
      <c r="J1052" s="183">
        <f t="shared" si="422"/>
        <v>1945.2700000000002</v>
      </c>
      <c r="K1052" s="183">
        <v>2733.2</v>
      </c>
      <c r="L1052" s="183">
        <v>1917.3200000000002</v>
      </c>
      <c r="M1052" s="183">
        <v>1945.2700000000002</v>
      </c>
      <c r="N1052" s="183"/>
      <c r="O1052" s="183">
        <v>2733.2</v>
      </c>
      <c r="P1052" s="183">
        <v>1917.3200000000002</v>
      </c>
      <c r="Q1052" s="183">
        <v>1945.2700000000002</v>
      </c>
      <c r="R1052" s="472">
        <f t="shared" si="415"/>
        <v>0</v>
      </c>
      <c r="S1052" s="472">
        <f t="shared" si="416"/>
        <v>0</v>
      </c>
      <c r="T1052" s="472">
        <f t="shared" si="417"/>
        <v>0</v>
      </c>
      <c r="U1052" s="45" t="s">
        <v>194</v>
      </c>
      <c r="V1052" s="87" t="s">
        <v>17</v>
      </c>
      <c r="W1052" s="37" t="s">
        <v>98</v>
      </c>
      <c r="X1052" s="37" t="s">
        <v>124</v>
      </c>
      <c r="Y1052" s="57" t="s">
        <v>957</v>
      </c>
      <c r="Z1052" s="37" t="s">
        <v>90</v>
      </c>
      <c r="AA1052" s="12" t="b">
        <f t="shared" si="404"/>
        <v>1</v>
      </c>
      <c r="AB1052" s="12" t="b">
        <f t="shared" si="405"/>
        <v>1</v>
      </c>
      <c r="AC1052" s="12" t="b">
        <f t="shared" si="406"/>
        <v>1</v>
      </c>
      <c r="AD1052" s="12" t="b">
        <f t="shared" si="407"/>
        <v>1</v>
      </c>
      <c r="AE1052" s="12" t="b">
        <f t="shared" si="408"/>
        <v>1</v>
      </c>
      <c r="AF1052" s="12" t="b">
        <f t="shared" si="409"/>
        <v>1</v>
      </c>
    </row>
    <row r="1053" spans="1:32" s="12" customFormat="1" ht="15.75" customHeight="1">
      <c r="A1053" s="285"/>
      <c r="B1053" s="182" t="s">
        <v>145</v>
      </c>
      <c r="C1053" s="87" t="s">
        <v>17</v>
      </c>
      <c r="D1053" s="37" t="s">
        <v>98</v>
      </c>
      <c r="E1053" s="37" t="s">
        <v>124</v>
      </c>
      <c r="F1053" s="37" t="s">
        <v>957</v>
      </c>
      <c r="G1053" s="37" t="s">
        <v>153</v>
      </c>
      <c r="H1053" s="183">
        <f>490.93+2242.27</f>
        <v>2733.2</v>
      </c>
      <c r="I1053" s="183">
        <f>490.93+1426.39</f>
        <v>1917.3200000000002</v>
      </c>
      <c r="J1053" s="183">
        <f>490.93+1426.39+27.95</f>
        <v>1945.2700000000002</v>
      </c>
      <c r="K1053" s="183">
        <v>2733.2</v>
      </c>
      <c r="L1053" s="183">
        <v>1917.3200000000002</v>
      </c>
      <c r="M1053" s="183">
        <v>1945.2700000000002</v>
      </c>
      <c r="N1053" s="183"/>
      <c r="O1053" s="183">
        <v>2733.2</v>
      </c>
      <c r="P1053" s="183">
        <v>1917.3200000000002</v>
      </c>
      <c r="Q1053" s="183">
        <v>1945.2700000000002</v>
      </c>
      <c r="R1053" s="472">
        <f t="shared" si="415"/>
        <v>0</v>
      </c>
      <c r="S1053" s="472">
        <f t="shared" si="416"/>
        <v>0</v>
      </c>
      <c r="T1053" s="472">
        <f t="shared" si="417"/>
        <v>0</v>
      </c>
      <c r="U1053" s="182" t="s">
        <v>145</v>
      </c>
      <c r="V1053" s="87" t="s">
        <v>17</v>
      </c>
      <c r="W1053" s="37" t="s">
        <v>98</v>
      </c>
      <c r="X1053" s="37" t="s">
        <v>124</v>
      </c>
      <c r="Y1053" s="37" t="s">
        <v>957</v>
      </c>
      <c r="Z1053" s="37" t="s">
        <v>153</v>
      </c>
      <c r="AA1053" s="12" t="b">
        <f t="shared" si="404"/>
        <v>1</v>
      </c>
      <c r="AB1053" s="12" t="b">
        <f t="shared" si="405"/>
        <v>1</v>
      </c>
      <c r="AC1053" s="12" t="b">
        <f t="shared" si="406"/>
        <v>1</v>
      </c>
      <c r="AD1053" s="12" t="b">
        <f t="shared" si="407"/>
        <v>1</v>
      </c>
      <c r="AE1053" s="12" t="b">
        <f t="shared" si="408"/>
        <v>1</v>
      </c>
      <c r="AF1053" s="12" t="b">
        <f t="shared" si="409"/>
        <v>1</v>
      </c>
    </row>
    <row r="1054" spans="1:32" s="12" customFormat="1" ht="15.75" customHeight="1">
      <c r="A1054" s="285"/>
      <c r="B1054" s="182" t="s">
        <v>739</v>
      </c>
      <c r="C1054" s="87" t="s">
        <v>17</v>
      </c>
      <c r="D1054" s="57" t="s">
        <v>98</v>
      </c>
      <c r="E1054" s="57" t="s">
        <v>124</v>
      </c>
      <c r="F1054" s="37" t="s">
        <v>955</v>
      </c>
      <c r="G1054" s="37" t="s">
        <v>90</v>
      </c>
      <c r="H1054" s="183">
        <f>H1055</f>
        <v>126.00999999999999</v>
      </c>
      <c r="I1054" s="183">
        <f>I1055</f>
        <v>126.00999999999999</v>
      </c>
      <c r="J1054" s="183">
        <f>J1055</f>
        <v>126.00999999999999</v>
      </c>
      <c r="K1054" s="183">
        <v>126.00999999999999</v>
      </c>
      <c r="L1054" s="183">
        <v>126.00999999999999</v>
      </c>
      <c r="M1054" s="183">
        <v>126.00999999999999</v>
      </c>
      <c r="N1054" s="183"/>
      <c r="O1054" s="183">
        <v>126.00999999999999</v>
      </c>
      <c r="P1054" s="183">
        <v>126.00999999999999</v>
      </c>
      <c r="Q1054" s="183">
        <v>126.00999999999999</v>
      </c>
      <c r="R1054" s="472">
        <f t="shared" ref="R1054:R1084" si="423">H1054-O1054</f>
        <v>0</v>
      </c>
      <c r="S1054" s="472">
        <f t="shared" ref="S1054:S1084" si="424">I1054-P1054</f>
        <v>0</v>
      </c>
      <c r="T1054" s="472">
        <f t="shared" ref="T1054:T1084" si="425">J1054-Q1054</f>
        <v>0</v>
      </c>
      <c r="U1054" s="182" t="s">
        <v>739</v>
      </c>
      <c r="V1054" s="87" t="s">
        <v>17</v>
      </c>
      <c r="W1054" s="57" t="s">
        <v>98</v>
      </c>
      <c r="X1054" s="57" t="s">
        <v>124</v>
      </c>
      <c r="Y1054" s="37" t="s">
        <v>955</v>
      </c>
      <c r="Z1054" s="37" t="s">
        <v>90</v>
      </c>
      <c r="AA1054" s="12" t="b">
        <f t="shared" si="404"/>
        <v>1</v>
      </c>
      <c r="AB1054" s="12" t="b">
        <f t="shared" si="405"/>
        <v>1</v>
      </c>
      <c r="AC1054" s="12" t="b">
        <f t="shared" si="406"/>
        <v>1</v>
      </c>
      <c r="AD1054" s="12" t="b">
        <f t="shared" si="407"/>
        <v>1</v>
      </c>
      <c r="AE1054" s="12" t="b">
        <f t="shared" si="408"/>
        <v>1</v>
      </c>
      <c r="AF1054" s="12" t="b">
        <f t="shared" si="409"/>
        <v>1</v>
      </c>
    </row>
    <row r="1055" spans="1:32" s="12" customFormat="1" ht="15.75" customHeight="1">
      <c r="A1055" s="285"/>
      <c r="B1055" s="182" t="s">
        <v>145</v>
      </c>
      <c r="C1055" s="87" t="s">
        <v>17</v>
      </c>
      <c r="D1055" s="37" t="s">
        <v>98</v>
      </c>
      <c r="E1055" s="37" t="s">
        <v>124</v>
      </c>
      <c r="F1055" s="37" t="s">
        <v>955</v>
      </c>
      <c r="G1055" s="37" t="s">
        <v>153</v>
      </c>
      <c r="H1055" s="183">
        <f>100.16+25.85</f>
        <v>126.00999999999999</v>
      </c>
      <c r="I1055" s="183">
        <f t="shared" ref="I1055:J1055" si="426">100.16+25.85</f>
        <v>126.00999999999999</v>
      </c>
      <c r="J1055" s="183">
        <f t="shared" si="426"/>
        <v>126.00999999999999</v>
      </c>
      <c r="K1055" s="183">
        <v>126.00999999999999</v>
      </c>
      <c r="L1055" s="183">
        <v>126.00999999999999</v>
      </c>
      <c r="M1055" s="183">
        <v>126.00999999999999</v>
      </c>
      <c r="N1055" s="183"/>
      <c r="O1055" s="183">
        <v>126.00999999999999</v>
      </c>
      <c r="P1055" s="183">
        <v>126.00999999999999</v>
      </c>
      <c r="Q1055" s="183">
        <v>126.00999999999999</v>
      </c>
      <c r="R1055" s="472">
        <f t="shared" si="423"/>
        <v>0</v>
      </c>
      <c r="S1055" s="472">
        <f t="shared" si="424"/>
        <v>0</v>
      </c>
      <c r="T1055" s="472">
        <f t="shared" si="425"/>
        <v>0</v>
      </c>
      <c r="U1055" s="182" t="s">
        <v>145</v>
      </c>
      <c r="V1055" s="87" t="s">
        <v>17</v>
      </c>
      <c r="W1055" s="37" t="s">
        <v>98</v>
      </c>
      <c r="X1055" s="37" t="s">
        <v>124</v>
      </c>
      <c r="Y1055" s="37" t="s">
        <v>955</v>
      </c>
      <c r="Z1055" s="37" t="s">
        <v>153</v>
      </c>
      <c r="AA1055" s="12" t="b">
        <f t="shared" si="404"/>
        <v>1</v>
      </c>
      <c r="AB1055" s="12" t="b">
        <f t="shared" si="405"/>
        <v>1</v>
      </c>
      <c r="AC1055" s="12" t="b">
        <f t="shared" si="406"/>
        <v>1</v>
      </c>
      <c r="AD1055" s="12" t="b">
        <f t="shared" si="407"/>
        <v>1</v>
      </c>
      <c r="AE1055" s="12" t="b">
        <f t="shared" si="408"/>
        <v>1</v>
      </c>
      <c r="AF1055" s="12" t="b">
        <f t="shared" si="409"/>
        <v>1</v>
      </c>
    </row>
    <row r="1056" spans="1:32" s="12" customFormat="1" ht="15.75" customHeight="1">
      <c r="A1056" s="285"/>
      <c r="B1056" s="182" t="s">
        <v>607</v>
      </c>
      <c r="C1056" s="87" t="s">
        <v>17</v>
      </c>
      <c r="D1056" s="37" t="s">
        <v>98</v>
      </c>
      <c r="E1056" s="37" t="s">
        <v>124</v>
      </c>
      <c r="F1056" s="37" t="s">
        <v>604</v>
      </c>
      <c r="G1056" s="37" t="s">
        <v>90</v>
      </c>
      <c r="H1056" s="183">
        <f t="shared" ref="H1056:J1058" si="427">H1057</f>
        <v>700</v>
      </c>
      <c r="I1056" s="183">
        <f t="shared" si="427"/>
        <v>700</v>
      </c>
      <c r="J1056" s="183">
        <f t="shared" si="427"/>
        <v>700</v>
      </c>
      <c r="K1056" s="183">
        <v>700</v>
      </c>
      <c r="L1056" s="183">
        <v>700</v>
      </c>
      <c r="M1056" s="183">
        <v>700</v>
      </c>
      <c r="N1056" s="183"/>
      <c r="O1056" s="183">
        <v>700</v>
      </c>
      <c r="P1056" s="183">
        <v>700</v>
      </c>
      <c r="Q1056" s="183">
        <v>700</v>
      </c>
      <c r="R1056" s="472">
        <f t="shared" si="423"/>
        <v>0</v>
      </c>
      <c r="S1056" s="472">
        <f t="shared" si="424"/>
        <v>0</v>
      </c>
      <c r="T1056" s="472">
        <f t="shared" si="425"/>
        <v>0</v>
      </c>
      <c r="U1056" s="182" t="s">
        <v>607</v>
      </c>
      <c r="V1056" s="87" t="s">
        <v>17</v>
      </c>
      <c r="W1056" s="37" t="s">
        <v>98</v>
      </c>
      <c r="X1056" s="37" t="s">
        <v>124</v>
      </c>
      <c r="Y1056" s="37" t="s">
        <v>604</v>
      </c>
      <c r="Z1056" s="37" t="s">
        <v>90</v>
      </c>
      <c r="AA1056" s="12" t="b">
        <f t="shared" si="404"/>
        <v>1</v>
      </c>
      <c r="AB1056" s="12" t="b">
        <f t="shared" si="405"/>
        <v>1</v>
      </c>
      <c r="AC1056" s="12" t="b">
        <f t="shared" si="406"/>
        <v>1</v>
      </c>
      <c r="AD1056" s="12" t="b">
        <f t="shared" si="407"/>
        <v>1</v>
      </c>
      <c r="AE1056" s="12" t="b">
        <f t="shared" si="408"/>
        <v>1</v>
      </c>
      <c r="AF1056" s="12" t="b">
        <f t="shared" si="409"/>
        <v>1</v>
      </c>
    </row>
    <row r="1057" spans="1:32" s="12" customFormat="1" ht="15.75" customHeight="1">
      <c r="A1057" s="285"/>
      <c r="B1057" s="182" t="s">
        <v>608</v>
      </c>
      <c r="C1057" s="87" t="s">
        <v>17</v>
      </c>
      <c r="D1057" s="37" t="s">
        <v>98</v>
      </c>
      <c r="E1057" s="37" t="s">
        <v>124</v>
      </c>
      <c r="F1057" s="37" t="s">
        <v>605</v>
      </c>
      <c r="G1057" s="37" t="s">
        <v>90</v>
      </c>
      <c r="H1057" s="183">
        <f t="shared" si="427"/>
        <v>700</v>
      </c>
      <c r="I1057" s="183">
        <f t="shared" si="427"/>
        <v>700</v>
      </c>
      <c r="J1057" s="183">
        <f t="shared" si="427"/>
        <v>700</v>
      </c>
      <c r="K1057" s="183">
        <v>700</v>
      </c>
      <c r="L1057" s="183">
        <v>700</v>
      </c>
      <c r="M1057" s="183">
        <v>700</v>
      </c>
      <c r="N1057" s="183"/>
      <c r="O1057" s="183">
        <v>700</v>
      </c>
      <c r="P1057" s="183">
        <v>700</v>
      </c>
      <c r="Q1057" s="183">
        <v>700</v>
      </c>
      <c r="R1057" s="472">
        <f t="shared" si="423"/>
        <v>0</v>
      </c>
      <c r="S1057" s="472">
        <f t="shared" si="424"/>
        <v>0</v>
      </c>
      <c r="T1057" s="472">
        <f t="shared" si="425"/>
        <v>0</v>
      </c>
      <c r="U1057" s="182" t="s">
        <v>608</v>
      </c>
      <c r="V1057" s="87" t="s">
        <v>17</v>
      </c>
      <c r="W1057" s="37" t="s">
        <v>98</v>
      </c>
      <c r="X1057" s="37" t="s">
        <v>124</v>
      </c>
      <c r="Y1057" s="37" t="s">
        <v>605</v>
      </c>
      <c r="Z1057" s="37" t="s">
        <v>90</v>
      </c>
      <c r="AA1057" s="12" t="b">
        <f t="shared" si="404"/>
        <v>1</v>
      </c>
      <c r="AB1057" s="12" t="b">
        <f t="shared" si="405"/>
        <v>1</v>
      </c>
      <c r="AC1057" s="12" t="b">
        <f t="shared" si="406"/>
        <v>1</v>
      </c>
      <c r="AD1057" s="12" t="b">
        <f t="shared" si="407"/>
        <v>1</v>
      </c>
      <c r="AE1057" s="12" t="b">
        <f t="shared" si="408"/>
        <v>1</v>
      </c>
      <c r="AF1057" s="12" t="b">
        <f t="shared" si="409"/>
        <v>1</v>
      </c>
    </row>
    <row r="1058" spans="1:32" s="12" customFormat="1" ht="15.75" customHeight="1">
      <c r="A1058" s="285"/>
      <c r="B1058" s="413" t="s">
        <v>997</v>
      </c>
      <c r="C1058" s="87" t="s">
        <v>17</v>
      </c>
      <c r="D1058" s="37" t="s">
        <v>98</v>
      </c>
      <c r="E1058" s="37" t="s">
        <v>124</v>
      </c>
      <c r="F1058" s="37" t="s">
        <v>996</v>
      </c>
      <c r="G1058" s="37" t="s">
        <v>90</v>
      </c>
      <c r="H1058" s="183">
        <f t="shared" si="427"/>
        <v>700</v>
      </c>
      <c r="I1058" s="183">
        <f t="shared" si="427"/>
        <v>700</v>
      </c>
      <c r="J1058" s="183">
        <f t="shared" si="427"/>
        <v>700</v>
      </c>
      <c r="K1058" s="183">
        <v>700</v>
      </c>
      <c r="L1058" s="183">
        <v>700</v>
      </c>
      <c r="M1058" s="183">
        <v>700</v>
      </c>
      <c r="N1058" s="183"/>
      <c r="O1058" s="183">
        <v>700</v>
      </c>
      <c r="P1058" s="183">
        <v>700</v>
      </c>
      <c r="Q1058" s="183">
        <v>700</v>
      </c>
      <c r="R1058" s="472">
        <f t="shared" si="423"/>
        <v>0</v>
      </c>
      <c r="S1058" s="472">
        <f t="shared" si="424"/>
        <v>0</v>
      </c>
      <c r="T1058" s="472">
        <f t="shared" si="425"/>
        <v>0</v>
      </c>
      <c r="U1058" s="413" t="s">
        <v>997</v>
      </c>
      <c r="V1058" s="87" t="s">
        <v>17</v>
      </c>
      <c r="W1058" s="37" t="s">
        <v>98</v>
      </c>
      <c r="X1058" s="37" t="s">
        <v>124</v>
      </c>
      <c r="Y1058" s="37" t="s">
        <v>996</v>
      </c>
      <c r="Z1058" s="37" t="s">
        <v>90</v>
      </c>
      <c r="AA1058" s="12" t="b">
        <f t="shared" si="404"/>
        <v>1</v>
      </c>
      <c r="AB1058" s="12" t="b">
        <f t="shared" si="405"/>
        <v>1</v>
      </c>
      <c r="AC1058" s="12" t="b">
        <f t="shared" si="406"/>
        <v>1</v>
      </c>
      <c r="AD1058" s="12" t="b">
        <f t="shared" si="407"/>
        <v>1</v>
      </c>
      <c r="AE1058" s="12" t="b">
        <f t="shared" si="408"/>
        <v>1</v>
      </c>
      <c r="AF1058" s="12" t="b">
        <f t="shared" si="409"/>
        <v>1</v>
      </c>
    </row>
    <row r="1059" spans="1:32" s="12" customFormat="1" ht="15.75" customHeight="1">
      <c r="A1059" s="285"/>
      <c r="B1059" s="182" t="s">
        <v>145</v>
      </c>
      <c r="C1059" s="87" t="s">
        <v>17</v>
      </c>
      <c r="D1059" s="37" t="s">
        <v>98</v>
      </c>
      <c r="E1059" s="37" t="s">
        <v>124</v>
      </c>
      <c r="F1059" s="37" t="s">
        <v>996</v>
      </c>
      <c r="G1059" s="37" t="s">
        <v>153</v>
      </c>
      <c r="H1059" s="183">
        <v>700</v>
      </c>
      <c r="I1059" s="183">
        <v>700</v>
      </c>
      <c r="J1059" s="183">
        <v>700</v>
      </c>
      <c r="K1059" s="183">
        <v>700</v>
      </c>
      <c r="L1059" s="183">
        <v>700</v>
      </c>
      <c r="M1059" s="183">
        <v>700</v>
      </c>
      <c r="N1059" s="183"/>
      <c r="O1059" s="183">
        <v>700</v>
      </c>
      <c r="P1059" s="183">
        <v>700</v>
      </c>
      <c r="Q1059" s="183">
        <v>700</v>
      </c>
      <c r="R1059" s="472">
        <f t="shared" si="423"/>
        <v>0</v>
      </c>
      <c r="S1059" s="472">
        <f t="shared" si="424"/>
        <v>0</v>
      </c>
      <c r="T1059" s="472">
        <f t="shared" si="425"/>
        <v>0</v>
      </c>
      <c r="U1059" s="182" t="s">
        <v>145</v>
      </c>
      <c r="V1059" s="87" t="s">
        <v>17</v>
      </c>
      <c r="W1059" s="37" t="s">
        <v>98</v>
      </c>
      <c r="X1059" s="37" t="s">
        <v>124</v>
      </c>
      <c r="Y1059" s="37" t="s">
        <v>996</v>
      </c>
      <c r="Z1059" s="37" t="s">
        <v>153</v>
      </c>
      <c r="AA1059" s="12" t="b">
        <f t="shared" si="404"/>
        <v>1</v>
      </c>
      <c r="AB1059" s="12" t="b">
        <f t="shared" si="405"/>
        <v>1</v>
      </c>
      <c r="AC1059" s="12" t="b">
        <f t="shared" si="406"/>
        <v>1</v>
      </c>
      <c r="AD1059" s="12" t="b">
        <f t="shared" si="407"/>
        <v>1</v>
      </c>
      <c r="AE1059" s="12" t="b">
        <f t="shared" si="408"/>
        <v>1</v>
      </c>
      <c r="AF1059" s="12" t="b">
        <f t="shared" si="409"/>
        <v>1</v>
      </c>
    </row>
    <row r="1060" spans="1:32" s="12" customFormat="1" ht="15.75" customHeight="1">
      <c r="A1060" s="285"/>
      <c r="B1060" s="19" t="s">
        <v>67</v>
      </c>
      <c r="C1060" s="29" t="s">
        <v>17</v>
      </c>
      <c r="D1060" s="30" t="s">
        <v>69</v>
      </c>
      <c r="E1060" s="30" t="s">
        <v>83</v>
      </c>
      <c r="F1060" s="30" t="s">
        <v>223</v>
      </c>
      <c r="G1060" s="30" t="s">
        <v>90</v>
      </c>
      <c r="H1060" s="31">
        <f t="shared" ref="H1060:J1060" si="428">H1061</f>
        <v>183287.33000000002</v>
      </c>
      <c r="I1060" s="31">
        <f t="shared" si="428"/>
        <v>179411.29</v>
      </c>
      <c r="J1060" s="31">
        <f t="shared" si="428"/>
        <v>179428.69</v>
      </c>
      <c r="K1060" s="31">
        <v>183287.33000000002</v>
      </c>
      <c r="L1060" s="31">
        <v>179411.29</v>
      </c>
      <c r="M1060" s="31">
        <v>179428.69</v>
      </c>
      <c r="N1060" s="31"/>
      <c r="O1060" s="31">
        <v>178999.05000000002</v>
      </c>
      <c r="P1060" s="31">
        <v>179411.29</v>
      </c>
      <c r="Q1060" s="31">
        <v>179428.69</v>
      </c>
      <c r="R1060" s="472">
        <f t="shared" si="423"/>
        <v>4288.2799999999988</v>
      </c>
      <c r="S1060" s="472">
        <f t="shared" si="424"/>
        <v>0</v>
      </c>
      <c r="T1060" s="472">
        <f t="shared" si="425"/>
        <v>0</v>
      </c>
      <c r="U1060" s="19" t="s">
        <v>67</v>
      </c>
      <c r="V1060" s="29" t="s">
        <v>17</v>
      </c>
      <c r="W1060" s="30" t="s">
        <v>69</v>
      </c>
      <c r="X1060" s="30" t="s">
        <v>83</v>
      </c>
      <c r="Y1060" s="30" t="s">
        <v>223</v>
      </c>
      <c r="Z1060" s="30" t="s">
        <v>90</v>
      </c>
      <c r="AA1060" s="12" t="b">
        <f t="shared" ref="AA1060:AA1121" si="429">B1060=U1060</f>
        <v>1</v>
      </c>
      <c r="AB1060" s="12" t="b">
        <f t="shared" ref="AB1060:AB1121" si="430">C1060=V1060</f>
        <v>1</v>
      </c>
      <c r="AC1060" s="12" t="b">
        <f t="shared" ref="AC1060:AC1121" si="431">D1060=W1060</f>
        <v>1</v>
      </c>
      <c r="AD1060" s="12" t="b">
        <f t="shared" ref="AD1060:AD1121" si="432">E1060=X1060</f>
        <v>1</v>
      </c>
      <c r="AE1060" s="12" t="b">
        <f t="shared" ref="AE1060:AE1121" si="433">F1060=Y1060</f>
        <v>1</v>
      </c>
      <c r="AF1060" s="12" t="b">
        <f t="shared" ref="AF1060:AF1121" si="434">G1060=Z1060</f>
        <v>1</v>
      </c>
    </row>
    <row r="1061" spans="1:32" s="12" customFormat="1" ht="15.75" customHeight="1">
      <c r="A1061" s="285"/>
      <c r="B1061" s="20" t="s">
        <v>125</v>
      </c>
      <c r="C1061" s="33" t="s">
        <v>17</v>
      </c>
      <c r="D1061" s="34" t="s">
        <v>69</v>
      </c>
      <c r="E1061" s="34" t="s">
        <v>33</v>
      </c>
      <c r="F1061" s="34" t="s">
        <v>223</v>
      </c>
      <c r="G1061" s="34" t="s">
        <v>90</v>
      </c>
      <c r="H1061" s="35">
        <f t="shared" ref="H1061:J1062" si="435">H1062</f>
        <v>183287.33000000002</v>
      </c>
      <c r="I1061" s="35">
        <f t="shared" si="435"/>
        <v>179411.29</v>
      </c>
      <c r="J1061" s="35">
        <f t="shared" si="435"/>
        <v>179428.69</v>
      </c>
      <c r="K1061" s="35">
        <v>183287.33000000002</v>
      </c>
      <c r="L1061" s="35">
        <v>179411.29</v>
      </c>
      <c r="M1061" s="35">
        <v>179428.69</v>
      </c>
      <c r="N1061" s="35"/>
      <c r="O1061" s="35">
        <v>178999.05000000002</v>
      </c>
      <c r="P1061" s="35">
        <v>179411.29</v>
      </c>
      <c r="Q1061" s="35">
        <v>179428.69</v>
      </c>
      <c r="R1061" s="472">
        <f t="shared" si="423"/>
        <v>4288.2799999999988</v>
      </c>
      <c r="S1061" s="472">
        <f t="shared" si="424"/>
        <v>0</v>
      </c>
      <c r="T1061" s="472">
        <f t="shared" si="425"/>
        <v>0</v>
      </c>
      <c r="U1061" s="20" t="s">
        <v>125</v>
      </c>
      <c r="V1061" s="33" t="s">
        <v>17</v>
      </c>
      <c r="W1061" s="34" t="s">
        <v>69</v>
      </c>
      <c r="X1061" s="34" t="s">
        <v>33</v>
      </c>
      <c r="Y1061" s="34" t="s">
        <v>223</v>
      </c>
      <c r="Z1061" s="34" t="s">
        <v>90</v>
      </c>
      <c r="AA1061" s="12" t="b">
        <f t="shared" si="429"/>
        <v>1</v>
      </c>
      <c r="AB1061" s="12" t="b">
        <f t="shared" si="430"/>
        <v>1</v>
      </c>
      <c r="AC1061" s="12" t="b">
        <f t="shared" si="431"/>
        <v>1</v>
      </c>
      <c r="AD1061" s="12" t="b">
        <f t="shared" si="432"/>
        <v>1</v>
      </c>
      <c r="AE1061" s="12" t="b">
        <f t="shared" si="433"/>
        <v>1</v>
      </c>
      <c r="AF1061" s="12" t="b">
        <f t="shared" si="434"/>
        <v>1</v>
      </c>
    </row>
    <row r="1062" spans="1:32" s="12" customFormat="1" ht="15.75" customHeight="1">
      <c r="A1062" s="285"/>
      <c r="B1062" s="23" t="s">
        <v>1166</v>
      </c>
      <c r="C1062" s="57" t="s">
        <v>17</v>
      </c>
      <c r="D1062" s="56" t="s">
        <v>69</v>
      </c>
      <c r="E1062" s="56" t="s">
        <v>33</v>
      </c>
      <c r="F1062" s="56" t="s">
        <v>296</v>
      </c>
      <c r="G1062" s="57" t="s">
        <v>90</v>
      </c>
      <c r="H1062" s="171">
        <f t="shared" si="435"/>
        <v>183287.33000000002</v>
      </c>
      <c r="I1062" s="171">
        <f t="shared" si="435"/>
        <v>179411.29</v>
      </c>
      <c r="J1062" s="171">
        <f t="shared" si="435"/>
        <v>179428.69</v>
      </c>
      <c r="K1062" s="171">
        <v>183287.33000000002</v>
      </c>
      <c r="L1062" s="171">
        <v>179411.29</v>
      </c>
      <c r="M1062" s="171">
        <v>179428.69</v>
      </c>
      <c r="N1062" s="171"/>
      <c r="O1062" s="171">
        <v>178999.05000000002</v>
      </c>
      <c r="P1062" s="171">
        <v>179411.29</v>
      </c>
      <c r="Q1062" s="171">
        <v>179428.69</v>
      </c>
      <c r="R1062" s="472">
        <f t="shared" si="423"/>
        <v>4288.2799999999988</v>
      </c>
      <c r="S1062" s="472">
        <f t="shared" si="424"/>
        <v>0</v>
      </c>
      <c r="T1062" s="472">
        <f t="shared" si="425"/>
        <v>0</v>
      </c>
      <c r="U1062" s="23" t="s">
        <v>1166</v>
      </c>
      <c r="V1062" s="57" t="s">
        <v>17</v>
      </c>
      <c r="W1062" s="56" t="s">
        <v>69</v>
      </c>
      <c r="X1062" s="56" t="s">
        <v>33</v>
      </c>
      <c r="Y1062" s="56" t="s">
        <v>296</v>
      </c>
      <c r="Z1062" s="57" t="s">
        <v>90</v>
      </c>
      <c r="AA1062" s="12" t="b">
        <f t="shared" si="429"/>
        <v>1</v>
      </c>
      <c r="AB1062" s="12" t="b">
        <f t="shared" si="430"/>
        <v>1</v>
      </c>
      <c r="AC1062" s="12" t="b">
        <f t="shared" si="431"/>
        <v>1</v>
      </c>
      <c r="AD1062" s="12" t="b">
        <f t="shared" si="432"/>
        <v>1</v>
      </c>
      <c r="AE1062" s="12" t="b">
        <f t="shared" si="433"/>
        <v>1</v>
      </c>
      <c r="AF1062" s="12" t="b">
        <f t="shared" si="434"/>
        <v>1</v>
      </c>
    </row>
    <row r="1063" spans="1:32" s="12" customFormat="1" ht="15.75" customHeight="1">
      <c r="A1063" s="285"/>
      <c r="B1063" s="23" t="s">
        <v>1213</v>
      </c>
      <c r="C1063" s="57" t="s">
        <v>17</v>
      </c>
      <c r="D1063" s="56" t="s">
        <v>69</v>
      </c>
      <c r="E1063" s="56" t="s">
        <v>33</v>
      </c>
      <c r="F1063" s="86" t="s">
        <v>297</v>
      </c>
      <c r="G1063" s="86" t="s">
        <v>90</v>
      </c>
      <c r="H1063" s="58">
        <f>H1064</f>
        <v>183287.33000000002</v>
      </c>
      <c r="I1063" s="58">
        <f>I1064</f>
        <v>179411.29</v>
      </c>
      <c r="J1063" s="58">
        <f>J1064</f>
        <v>179428.69</v>
      </c>
      <c r="K1063" s="58">
        <v>183287.33000000002</v>
      </c>
      <c r="L1063" s="58">
        <v>179411.29</v>
      </c>
      <c r="M1063" s="58">
        <v>179428.69</v>
      </c>
      <c r="N1063" s="58"/>
      <c r="O1063" s="58">
        <v>178999.05000000002</v>
      </c>
      <c r="P1063" s="58">
        <v>179411.29</v>
      </c>
      <c r="Q1063" s="58">
        <v>179428.69</v>
      </c>
      <c r="R1063" s="472">
        <f t="shared" si="423"/>
        <v>4288.2799999999988</v>
      </c>
      <c r="S1063" s="472">
        <f t="shared" si="424"/>
        <v>0</v>
      </c>
      <c r="T1063" s="472">
        <f t="shared" si="425"/>
        <v>0</v>
      </c>
      <c r="U1063" s="494" t="s">
        <v>1213</v>
      </c>
      <c r="V1063" s="57" t="s">
        <v>17</v>
      </c>
      <c r="W1063" s="56" t="s">
        <v>69</v>
      </c>
      <c r="X1063" s="56" t="s">
        <v>33</v>
      </c>
      <c r="Y1063" s="86" t="s">
        <v>297</v>
      </c>
      <c r="Z1063" s="86" t="s">
        <v>90</v>
      </c>
      <c r="AA1063" s="12" t="b">
        <f t="shared" si="429"/>
        <v>1</v>
      </c>
      <c r="AB1063" s="12" t="b">
        <f t="shared" si="430"/>
        <v>1</v>
      </c>
      <c r="AC1063" s="12" t="b">
        <f t="shared" si="431"/>
        <v>1</v>
      </c>
      <c r="AD1063" s="12" t="b">
        <f t="shared" si="432"/>
        <v>1</v>
      </c>
      <c r="AE1063" s="12" t="b">
        <f t="shared" si="433"/>
        <v>1</v>
      </c>
      <c r="AF1063" s="12" t="b">
        <f t="shared" si="434"/>
        <v>1</v>
      </c>
    </row>
    <row r="1064" spans="1:32" s="12" customFormat="1" ht="15.75" customHeight="1">
      <c r="A1064" s="285"/>
      <c r="B1064" s="54" t="s">
        <v>554</v>
      </c>
      <c r="C1064" s="57" t="s">
        <v>17</v>
      </c>
      <c r="D1064" s="57" t="s">
        <v>69</v>
      </c>
      <c r="E1064" s="57" t="s">
        <v>33</v>
      </c>
      <c r="F1064" s="57" t="s">
        <v>298</v>
      </c>
      <c r="G1064" s="57" t="s">
        <v>90</v>
      </c>
      <c r="H1064" s="58">
        <f>H1067+H1065</f>
        <v>183287.33000000002</v>
      </c>
      <c r="I1064" s="58">
        <f>I1067+I1065</f>
        <v>179411.29</v>
      </c>
      <c r="J1064" s="58">
        <f>J1067+J1065</f>
        <v>179428.69</v>
      </c>
      <c r="K1064" s="58">
        <v>183287.33000000002</v>
      </c>
      <c r="L1064" s="58">
        <v>179411.29</v>
      </c>
      <c r="M1064" s="58">
        <v>179428.69</v>
      </c>
      <c r="N1064" s="58"/>
      <c r="O1064" s="58">
        <v>178999.05000000002</v>
      </c>
      <c r="P1064" s="58">
        <v>179411.29</v>
      </c>
      <c r="Q1064" s="58">
        <v>179428.69</v>
      </c>
      <c r="R1064" s="472">
        <f t="shared" si="423"/>
        <v>4288.2799999999988</v>
      </c>
      <c r="S1064" s="472">
        <f t="shared" si="424"/>
        <v>0</v>
      </c>
      <c r="T1064" s="472">
        <f t="shared" si="425"/>
        <v>0</v>
      </c>
      <c r="U1064" s="54" t="s">
        <v>554</v>
      </c>
      <c r="V1064" s="57" t="s">
        <v>17</v>
      </c>
      <c r="W1064" s="57" t="s">
        <v>69</v>
      </c>
      <c r="X1064" s="57" t="s">
        <v>33</v>
      </c>
      <c r="Y1064" s="57" t="s">
        <v>298</v>
      </c>
      <c r="Z1064" s="57" t="s">
        <v>90</v>
      </c>
      <c r="AA1064" s="12" t="b">
        <f t="shared" si="429"/>
        <v>1</v>
      </c>
      <c r="AB1064" s="12" t="b">
        <f t="shared" si="430"/>
        <v>1</v>
      </c>
      <c r="AC1064" s="12" t="b">
        <f t="shared" si="431"/>
        <v>1</v>
      </c>
      <c r="AD1064" s="12" t="b">
        <f t="shared" si="432"/>
        <v>1</v>
      </c>
      <c r="AE1064" s="12" t="b">
        <f t="shared" si="433"/>
        <v>1</v>
      </c>
      <c r="AF1064" s="12" t="b">
        <f t="shared" si="434"/>
        <v>1</v>
      </c>
    </row>
    <row r="1065" spans="1:32" s="12" customFormat="1" ht="15.75" customHeight="1">
      <c r="A1065" s="285"/>
      <c r="B1065" s="39" t="s">
        <v>432</v>
      </c>
      <c r="C1065" s="57" t="s">
        <v>17</v>
      </c>
      <c r="D1065" s="57" t="s">
        <v>69</v>
      </c>
      <c r="E1065" s="57" t="s">
        <v>33</v>
      </c>
      <c r="F1065" s="57" t="s">
        <v>433</v>
      </c>
      <c r="G1065" s="57" t="s">
        <v>90</v>
      </c>
      <c r="H1065" s="58">
        <f>H1066</f>
        <v>16463.37</v>
      </c>
      <c r="I1065" s="58">
        <f>I1066</f>
        <v>12570.6</v>
      </c>
      <c r="J1065" s="58">
        <f>J1066</f>
        <v>12570.6</v>
      </c>
      <c r="K1065" s="58">
        <v>16463.37</v>
      </c>
      <c r="L1065" s="58">
        <v>12570.6</v>
      </c>
      <c r="M1065" s="58">
        <v>12570.6</v>
      </c>
      <c r="N1065" s="58"/>
      <c r="O1065" s="58">
        <v>12175.09</v>
      </c>
      <c r="P1065" s="58">
        <v>12570.6</v>
      </c>
      <c r="Q1065" s="58">
        <v>12570.6</v>
      </c>
      <c r="R1065" s="472">
        <f t="shared" si="423"/>
        <v>4288.2799999999988</v>
      </c>
      <c r="S1065" s="472">
        <f t="shared" si="424"/>
        <v>0</v>
      </c>
      <c r="T1065" s="472">
        <f t="shared" si="425"/>
        <v>0</v>
      </c>
      <c r="U1065" s="39" t="s">
        <v>432</v>
      </c>
      <c r="V1065" s="57" t="s">
        <v>17</v>
      </c>
      <c r="W1065" s="57" t="s">
        <v>69</v>
      </c>
      <c r="X1065" s="57" t="s">
        <v>33</v>
      </c>
      <c r="Y1065" s="57" t="s">
        <v>433</v>
      </c>
      <c r="Z1065" s="57" t="s">
        <v>90</v>
      </c>
      <c r="AA1065" s="12" t="b">
        <f t="shared" si="429"/>
        <v>1</v>
      </c>
      <c r="AB1065" s="12" t="b">
        <f t="shared" si="430"/>
        <v>1</v>
      </c>
      <c r="AC1065" s="12" t="b">
        <f t="shared" si="431"/>
        <v>1</v>
      </c>
      <c r="AD1065" s="12" t="b">
        <f t="shared" si="432"/>
        <v>1</v>
      </c>
      <c r="AE1065" s="12" t="b">
        <f t="shared" si="433"/>
        <v>1</v>
      </c>
      <c r="AF1065" s="12" t="b">
        <f t="shared" si="434"/>
        <v>1</v>
      </c>
    </row>
    <row r="1066" spans="1:32" s="15" customFormat="1" ht="15.75" customHeight="1">
      <c r="A1066" s="292"/>
      <c r="B1066" s="54" t="s">
        <v>145</v>
      </c>
      <c r="C1066" s="57" t="s">
        <v>17</v>
      </c>
      <c r="D1066" s="57" t="s">
        <v>69</v>
      </c>
      <c r="E1066" s="57" t="s">
        <v>33</v>
      </c>
      <c r="F1066" s="57" t="s">
        <v>433</v>
      </c>
      <c r="G1066" s="57" t="s">
        <v>153</v>
      </c>
      <c r="H1066" s="58">
        <f>12570.6-4095.51+700+3000+4288.28</f>
        <v>16463.37</v>
      </c>
      <c r="I1066" s="58">
        <v>12570.6</v>
      </c>
      <c r="J1066" s="58">
        <v>12570.6</v>
      </c>
      <c r="K1066" s="58">
        <v>16463.37</v>
      </c>
      <c r="L1066" s="58">
        <v>12570.6</v>
      </c>
      <c r="M1066" s="58">
        <v>12570.6</v>
      </c>
      <c r="N1066" s="58"/>
      <c r="O1066" s="58">
        <v>12175.09</v>
      </c>
      <c r="P1066" s="58">
        <v>12570.6</v>
      </c>
      <c r="Q1066" s="58">
        <v>12570.6</v>
      </c>
      <c r="R1066" s="472">
        <f t="shared" si="423"/>
        <v>4288.2799999999988</v>
      </c>
      <c r="S1066" s="472">
        <f t="shared" si="424"/>
        <v>0</v>
      </c>
      <c r="T1066" s="472">
        <f t="shared" si="425"/>
        <v>0</v>
      </c>
      <c r="U1066" s="54" t="s">
        <v>145</v>
      </c>
      <c r="V1066" s="57" t="s">
        <v>17</v>
      </c>
      <c r="W1066" s="57" t="s">
        <v>69</v>
      </c>
      <c r="X1066" s="57" t="s">
        <v>33</v>
      </c>
      <c r="Y1066" s="57" t="s">
        <v>433</v>
      </c>
      <c r="Z1066" s="57" t="s">
        <v>153</v>
      </c>
      <c r="AA1066" s="12" t="b">
        <f t="shared" si="429"/>
        <v>1</v>
      </c>
      <c r="AB1066" s="12" t="b">
        <f t="shared" si="430"/>
        <v>1</v>
      </c>
      <c r="AC1066" s="12" t="b">
        <f t="shared" si="431"/>
        <v>1</v>
      </c>
      <c r="AD1066" s="12" t="b">
        <f t="shared" si="432"/>
        <v>1</v>
      </c>
      <c r="AE1066" s="12" t="b">
        <f t="shared" si="433"/>
        <v>1</v>
      </c>
      <c r="AF1066" s="12" t="b">
        <f t="shared" si="434"/>
        <v>1</v>
      </c>
    </row>
    <row r="1067" spans="1:32" s="12" customFormat="1" ht="15.75" customHeight="1">
      <c r="A1067" s="285"/>
      <c r="B1067" s="182" t="s">
        <v>763</v>
      </c>
      <c r="C1067" s="57" t="s">
        <v>17</v>
      </c>
      <c r="D1067" s="57" t="s">
        <v>69</v>
      </c>
      <c r="E1067" s="57" t="s">
        <v>33</v>
      </c>
      <c r="F1067" s="37" t="s">
        <v>771</v>
      </c>
      <c r="G1067" s="57" t="s">
        <v>90</v>
      </c>
      <c r="H1067" s="58">
        <f>H1068</f>
        <v>166823.96000000002</v>
      </c>
      <c r="I1067" s="58">
        <f>I1068</f>
        <v>166840.69</v>
      </c>
      <c r="J1067" s="58">
        <f>J1068</f>
        <v>166858.09</v>
      </c>
      <c r="K1067" s="58">
        <v>166823.96000000002</v>
      </c>
      <c r="L1067" s="58">
        <v>166840.69</v>
      </c>
      <c r="M1067" s="58">
        <v>166858.09</v>
      </c>
      <c r="N1067" s="58"/>
      <c r="O1067" s="58">
        <v>166823.96000000002</v>
      </c>
      <c r="P1067" s="58">
        <v>166840.69</v>
      </c>
      <c r="Q1067" s="58">
        <v>166858.09</v>
      </c>
      <c r="R1067" s="472">
        <f t="shared" si="423"/>
        <v>0</v>
      </c>
      <c r="S1067" s="472">
        <f t="shared" si="424"/>
        <v>0</v>
      </c>
      <c r="T1067" s="472">
        <f t="shared" si="425"/>
        <v>0</v>
      </c>
      <c r="U1067" s="182" t="s">
        <v>763</v>
      </c>
      <c r="V1067" s="57" t="s">
        <v>17</v>
      </c>
      <c r="W1067" s="57" t="s">
        <v>69</v>
      </c>
      <c r="X1067" s="57" t="s">
        <v>33</v>
      </c>
      <c r="Y1067" s="37" t="s">
        <v>771</v>
      </c>
      <c r="Z1067" s="57" t="s">
        <v>90</v>
      </c>
      <c r="AA1067" s="12" t="b">
        <f t="shared" si="429"/>
        <v>1</v>
      </c>
      <c r="AB1067" s="12" t="b">
        <f t="shared" si="430"/>
        <v>1</v>
      </c>
      <c r="AC1067" s="12" t="b">
        <f t="shared" si="431"/>
        <v>1</v>
      </c>
      <c r="AD1067" s="12" t="b">
        <f t="shared" si="432"/>
        <v>1</v>
      </c>
      <c r="AE1067" s="12" t="b">
        <f t="shared" si="433"/>
        <v>1</v>
      </c>
      <c r="AF1067" s="12" t="b">
        <f t="shared" si="434"/>
        <v>1</v>
      </c>
    </row>
    <row r="1068" spans="1:32" s="12" customFormat="1" ht="15.75" customHeight="1">
      <c r="A1068" s="285"/>
      <c r="B1068" s="182" t="s">
        <v>145</v>
      </c>
      <c r="C1068" s="37" t="s">
        <v>17</v>
      </c>
      <c r="D1068" s="37" t="s">
        <v>69</v>
      </c>
      <c r="E1068" s="37" t="s">
        <v>33</v>
      </c>
      <c r="F1068" s="37" t="s">
        <v>771</v>
      </c>
      <c r="G1068" s="37" t="s">
        <v>153</v>
      </c>
      <c r="H1068" s="183">
        <f>166815.76+8.2</f>
        <v>166823.96000000002</v>
      </c>
      <c r="I1068" s="183">
        <f>166815.76+24.93</f>
        <v>166840.69</v>
      </c>
      <c r="J1068" s="183">
        <f>166815.76+24.93+17.4</f>
        <v>166858.09</v>
      </c>
      <c r="K1068" s="183">
        <v>166823.96000000002</v>
      </c>
      <c r="L1068" s="183">
        <v>166840.69</v>
      </c>
      <c r="M1068" s="183">
        <v>166858.09</v>
      </c>
      <c r="N1068" s="183"/>
      <c r="O1068" s="183">
        <v>166823.96000000002</v>
      </c>
      <c r="P1068" s="183">
        <v>166840.69</v>
      </c>
      <c r="Q1068" s="183">
        <v>166858.09</v>
      </c>
      <c r="R1068" s="472">
        <f t="shared" si="423"/>
        <v>0</v>
      </c>
      <c r="S1068" s="472">
        <f t="shared" si="424"/>
        <v>0</v>
      </c>
      <c r="T1068" s="472">
        <f t="shared" si="425"/>
        <v>0</v>
      </c>
      <c r="U1068" s="182" t="s">
        <v>145</v>
      </c>
      <c r="V1068" s="37" t="s">
        <v>17</v>
      </c>
      <c r="W1068" s="37" t="s">
        <v>69</v>
      </c>
      <c r="X1068" s="37" t="s">
        <v>33</v>
      </c>
      <c r="Y1068" s="37" t="s">
        <v>771</v>
      </c>
      <c r="Z1068" s="37" t="s">
        <v>153</v>
      </c>
      <c r="AA1068" s="12" t="b">
        <f t="shared" si="429"/>
        <v>1</v>
      </c>
      <c r="AB1068" s="12" t="b">
        <f t="shared" si="430"/>
        <v>1</v>
      </c>
      <c r="AC1068" s="12" t="b">
        <f t="shared" si="431"/>
        <v>1</v>
      </c>
      <c r="AD1068" s="12" t="b">
        <f t="shared" si="432"/>
        <v>1</v>
      </c>
      <c r="AE1068" s="12" t="b">
        <f t="shared" si="433"/>
        <v>1</v>
      </c>
      <c r="AF1068" s="12" t="b">
        <f t="shared" si="434"/>
        <v>1</v>
      </c>
    </row>
    <row r="1069" spans="1:32" s="15" customFormat="1" ht="15.75" customHeight="1">
      <c r="A1069" s="292"/>
      <c r="B1069" s="19" t="s">
        <v>6</v>
      </c>
      <c r="C1069" s="29" t="s">
        <v>17</v>
      </c>
      <c r="D1069" s="30" t="s">
        <v>7</v>
      </c>
      <c r="E1069" s="30" t="s">
        <v>83</v>
      </c>
      <c r="F1069" s="30" t="s">
        <v>223</v>
      </c>
      <c r="G1069" s="30" t="s">
        <v>90</v>
      </c>
      <c r="H1069" s="31">
        <f>H1070+H1076</f>
        <v>60498.07</v>
      </c>
      <c r="I1069" s="31">
        <f>I1070+I1076</f>
        <v>53001.409999999996</v>
      </c>
      <c r="J1069" s="31">
        <f>J1070+J1076</f>
        <v>53018.159999999996</v>
      </c>
      <c r="K1069" s="31">
        <v>60498.07</v>
      </c>
      <c r="L1069" s="31">
        <v>53001.409999999996</v>
      </c>
      <c r="M1069" s="31">
        <v>53018.159999999996</v>
      </c>
      <c r="N1069" s="31"/>
      <c r="O1069" s="31">
        <v>60498.07</v>
      </c>
      <c r="P1069" s="31">
        <v>53001.409999999996</v>
      </c>
      <c r="Q1069" s="31">
        <v>53018.159999999996</v>
      </c>
      <c r="R1069" s="472">
        <f t="shared" si="423"/>
        <v>0</v>
      </c>
      <c r="S1069" s="472">
        <f t="shared" si="424"/>
        <v>0</v>
      </c>
      <c r="T1069" s="472">
        <f t="shared" si="425"/>
        <v>0</v>
      </c>
      <c r="U1069" s="19" t="s">
        <v>6</v>
      </c>
      <c r="V1069" s="29" t="s">
        <v>17</v>
      </c>
      <c r="W1069" s="30" t="s">
        <v>7</v>
      </c>
      <c r="X1069" s="30" t="s">
        <v>83</v>
      </c>
      <c r="Y1069" s="30" t="s">
        <v>223</v>
      </c>
      <c r="Z1069" s="30" t="s">
        <v>90</v>
      </c>
      <c r="AA1069" s="12" t="b">
        <f t="shared" si="429"/>
        <v>1</v>
      </c>
      <c r="AB1069" s="12" t="b">
        <f t="shared" si="430"/>
        <v>1</v>
      </c>
      <c r="AC1069" s="12" t="b">
        <f t="shared" si="431"/>
        <v>1</v>
      </c>
      <c r="AD1069" s="12" t="b">
        <f t="shared" si="432"/>
        <v>1</v>
      </c>
      <c r="AE1069" s="12" t="b">
        <f t="shared" si="433"/>
        <v>1</v>
      </c>
      <c r="AF1069" s="12" t="b">
        <f t="shared" si="434"/>
        <v>1</v>
      </c>
    </row>
    <row r="1070" spans="1:32" s="12" customFormat="1" ht="15.75" customHeight="1">
      <c r="A1070" s="285"/>
      <c r="B1070" s="84" t="s">
        <v>8</v>
      </c>
      <c r="C1070" s="140" t="s">
        <v>17</v>
      </c>
      <c r="D1070" s="141" t="s">
        <v>7</v>
      </c>
      <c r="E1070" s="141" t="s">
        <v>98</v>
      </c>
      <c r="F1070" s="141" t="s">
        <v>223</v>
      </c>
      <c r="G1070" s="141" t="s">
        <v>90</v>
      </c>
      <c r="H1070" s="142">
        <f>H1071</f>
        <v>4148.5700000000006</v>
      </c>
      <c r="I1070" s="142">
        <f>I1071</f>
        <v>4148.5700000000006</v>
      </c>
      <c r="J1070" s="142">
        <f>J1071</f>
        <v>4148.5700000000006</v>
      </c>
      <c r="K1070" s="142">
        <v>4148.5700000000006</v>
      </c>
      <c r="L1070" s="142">
        <v>4148.5700000000006</v>
      </c>
      <c r="M1070" s="142">
        <v>4148.5700000000006</v>
      </c>
      <c r="N1070" s="142"/>
      <c r="O1070" s="142">
        <v>4148.5700000000006</v>
      </c>
      <c r="P1070" s="142">
        <v>4148.5700000000006</v>
      </c>
      <c r="Q1070" s="142">
        <v>4148.5700000000006</v>
      </c>
      <c r="R1070" s="472">
        <f t="shared" si="423"/>
        <v>0</v>
      </c>
      <c r="S1070" s="472">
        <f t="shared" si="424"/>
        <v>0</v>
      </c>
      <c r="T1070" s="472">
        <f t="shared" si="425"/>
        <v>0</v>
      </c>
      <c r="U1070" s="84" t="s">
        <v>8</v>
      </c>
      <c r="V1070" s="140" t="s">
        <v>17</v>
      </c>
      <c r="W1070" s="141" t="s">
        <v>7</v>
      </c>
      <c r="X1070" s="141" t="s">
        <v>98</v>
      </c>
      <c r="Y1070" s="141" t="s">
        <v>223</v>
      </c>
      <c r="Z1070" s="141" t="s">
        <v>90</v>
      </c>
      <c r="AA1070" s="12" t="b">
        <f t="shared" si="429"/>
        <v>1</v>
      </c>
      <c r="AB1070" s="12" t="b">
        <f t="shared" si="430"/>
        <v>1</v>
      </c>
      <c r="AC1070" s="12" t="b">
        <f t="shared" si="431"/>
        <v>1</v>
      </c>
      <c r="AD1070" s="12" t="b">
        <f t="shared" si="432"/>
        <v>1</v>
      </c>
      <c r="AE1070" s="12" t="b">
        <f t="shared" si="433"/>
        <v>1</v>
      </c>
      <c r="AF1070" s="12" t="b">
        <f t="shared" si="434"/>
        <v>1</v>
      </c>
    </row>
    <row r="1071" spans="1:32" s="12" customFormat="1" ht="15.75" customHeight="1">
      <c r="A1071" s="285"/>
      <c r="B1071" s="23" t="s">
        <v>1166</v>
      </c>
      <c r="C1071" s="57" t="s">
        <v>17</v>
      </c>
      <c r="D1071" s="57" t="s">
        <v>7</v>
      </c>
      <c r="E1071" s="57" t="s">
        <v>98</v>
      </c>
      <c r="F1071" s="57" t="s">
        <v>296</v>
      </c>
      <c r="G1071" s="57" t="s">
        <v>90</v>
      </c>
      <c r="H1071" s="71">
        <f t="shared" ref="H1071:J1072" si="436">H1072</f>
        <v>4148.5700000000006</v>
      </c>
      <c r="I1071" s="71">
        <f t="shared" si="436"/>
        <v>4148.5700000000006</v>
      </c>
      <c r="J1071" s="71">
        <f t="shared" si="436"/>
        <v>4148.5700000000006</v>
      </c>
      <c r="K1071" s="71">
        <v>4148.5700000000006</v>
      </c>
      <c r="L1071" s="71">
        <v>4148.5700000000006</v>
      </c>
      <c r="M1071" s="71">
        <v>4148.5700000000006</v>
      </c>
      <c r="N1071" s="71"/>
      <c r="O1071" s="71">
        <v>4148.5700000000006</v>
      </c>
      <c r="P1071" s="71">
        <v>4148.5700000000006</v>
      </c>
      <c r="Q1071" s="71">
        <v>4148.5700000000006</v>
      </c>
      <c r="R1071" s="472">
        <f t="shared" si="423"/>
        <v>0</v>
      </c>
      <c r="S1071" s="472">
        <f t="shared" si="424"/>
        <v>0</v>
      </c>
      <c r="T1071" s="472">
        <f t="shared" si="425"/>
        <v>0</v>
      </c>
      <c r="U1071" s="23" t="s">
        <v>1166</v>
      </c>
      <c r="V1071" s="57" t="s">
        <v>17</v>
      </c>
      <c r="W1071" s="57" t="s">
        <v>7</v>
      </c>
      <c r="X1071" s="57" t="s">
        <v>98</v>
      </c>
      <c r="Y1071" s="57" t="s">
        <v>296</v>
      </c>
      <c r="Z1071" s="57" t="s">
        <v>90</v>
      </c>
      <c r="AA1071" s="12" t="b">
        <f t="shared" si="429"/>
        <v>1</v>
      </c>
      <c r="AB1071" s="12" t="b">
        <f t="shared" si="430"/>
        <v>1</v>
      </c>
      <c r="AC1071" s="12" t="b">
        <f t="shared" si="431"/>
        <v>1</v>
      </c>
      <c r="AD1071" s="12" t="b">
        <f t="shared" si="432"/>
        <v>1</v>
      </c>
      <c r="AE1071" s="12" t="b">
        <f t="shared" si="433"/>
        <v>1</v>
      </c>
      <c r="AF1071" s="12" t="b">
        <f t="shared" si="434"/>
        <v>1</v>
      </c>
    </row>
    <row r="1072" spans="1:32" s="15" customFormat="1" ht="15.75" customHeight="1">
      <c r="A1072" s="292"/>
      <c r="B1072" s="82" t="s">
        <v>185</v>
      </c>
      <c r="C1072" s="66" t="s">
        <v>17</v>
      </c>
      <c r="D1072" s="66" t="s">
        <v>7</v>
      </c>
      <c r="E1072" s="66" t="s">
        <v>98</v>
      </c>
      <c r="F1072" s="66" t="s">
        <v>434</v>
      </c>
      <c r="G1072" s="66" t="s">
        <v>90</v>
      </c>
      <c r="H1072" s="67">
        <f t="shared" si="436"/>
        <v>4148.5700000000006</v>
      </c>
      <c r="I1072" s="67">
        <f t="shared" si="436"/>
        <v>4148.5700000000006</v>
      </c>
      <c r="J1072" s="67">
        <f t="shared" si="436"/>
        <v>4148.5700000000006</v>
      </c>
      <c r="K1072" s="67">
        <v>4148.5700000000006</v>
      </c>
      <c r="L1072" s="67">
        <v>4148.5700000000006</v>
      </c>
      <c r="M1072" s="67">
        <v>4148.5700000000006</v>
      </c>
      <c r="N1072" s="67"/>
      <c r="O1072" s="67">
        <v>4148.5700000000006</v>
      </c>
      <c r="P1072" s="67">
        <v>4148.5700000000006</v>
      </c>
      <c r="Q1072" s="67">
        <v>4148.5700000000006</v>
      </c>
      <c r="R1072" s="472">
        <f t="shared" si="423"/>
        <v>0</v>
      </c>
      <c r="S1072" s="472">
        <f t="shared" si="424"/>
        <v>0</v>
      </c>
      <c r="T1072" s="472">
        <f t="shared" si="425"/>
        <v>0</v>
      </c>
      <c r="U1072" s="82" t="s">
        <v>185</v>
      </c>
      <c r="V1072" s="66" t="s">
        <v>17</v>
      </c>
      <c r="W1072" s="66" t="s">
        <v>7</v>
      </c>
      <c r="X1072" s="66" t="s">
        <v>98</v>
      </c>
      <c r="Y1072" s="66" t="s">
        <v>434</v>
      </c>
      <c r="Z1072" s="66" t="s">
        <v>90</v>
      </c>
      <c r="AA1072" s="12" t="b">
        <f t="shared" si="429"/>
        <v>1</v>
      </c>
      <c r="AB1072" s="12" t="b">
        <f t="shared" si="430"/>
        <v>1</v>
      </c>
      <c r="AC1072" s="12" t="b">
        <f t="shared" si="431"/>
        <v>1</v>
      </c>
      <c r="AD1072" s="12" t="b">
        <f t="shared" si="432"/>
        <v>1</v>
      </c>
      <c r="AE1072" s="12" t="b">
        <f t="shared" si="433"/>
        <v>1</v>
      </c>
      <c r="AF1072" s="12" t="b">
        <f t="shared" si="434"/>
        <v>1</v>
      </c>
    </row>
    <row r="1073" spans="1:32" s="12" customFormat="1" ht="15.75" customHeight="1">
      <c r="A1073" s="285"/>
      <c r="B1073" s="54" t="s">
        <v>453</v>
      </c>
      <c r="C1073" s="57" t="s">
        <v>17</v>
      </c>
      <c r="D1073" s="57" t="s">
        <v>7</v>
      </c>
      <c r="E1073" s="57" t="s">
        <v>98</v>
      </c>
      <c r="F1073" s="57" t="s">
        <v>436</v>
      </c>
      <c r="G1073" s="57" t="s">
        <v>90</v>
      </c>
      <c r="H1073" s="58">
        <f t="shared" ref="H1073:J1074" si="437">H1074</f>
        <v>4148.5700000000006</v>
      </c>
      <c r="I1073" s="58">
        <f t="shared" si="437"/>
        <v>4148.5700000000006</v>
      </c>
      <c r="J1073" s="58">
        <f t="shared" si="437"/>
        <v>4148.5700000000006</v>
      </c>
      <c r="K1073" s="58">
        <v>4148.5700000000006</v>
      </c>
      <c r="L1073" s="58">
        <v>4148.5700000000006</v>
      </c>
      <c r="M1073" s="58">
        <v>4148.5700000000006</v>
      </c>
      <c r="N1073" s="58"/>
      <c r="O1073" s="58">
        <v>4148.5700000000006</v>
      </c>
      <c r="P1073" s="58">
        <v>4148.5700000000006</v>
      </c>
      <c r="Q1073" s="58">
        <v>4148.5700000000006</v>
      </c>
      <c r="R1073" s="472">
        <f t="shared" si="423"/>
        <v>0</v>
      </c>
      <c r="S1073" s="472">
        <f t="shared" si="424"/>
        <v>0</v>
      </c>
      <c r="T1073" s="472">
        <f t="shared" si="425"/>
        <v>0</v>
      </c>
      <c r="U1073" s="54" t="s">
        <v>453</v>
      </c>
      <c r="V1073" s="57" t="s">
        <v>17</v>
      </c>
      <c r="W1073" s="57" t="s">
        <v>7</v>
      </c>
      <c r="X1073" s="57" t="s">
        <v>98</v>
      </c>
      <c r="Y1073" s="57" t="s">
        <v>436</v>
      </c>
      <c r="Z1073" s="57" t="s">
        <v>90</v>
      </c>
      <c r="AA1073" s="12" t="b">
        <f t="shared" si="429"/>
        <v>1</v>
      </c>
      <c r="AB1073" s="12" t="b">
        <f t="shared" si="430"/>
        <v>1</v>
      </c>
      <c r="AC1073" s="12" t="b">
        <f t="shared" si="431"/>
        <v>1</v>
      </c>
      <c r="AD1073" s="12" t="b">
        <f t="shared" si="432"/>
        <v>1</v>
      </c>
      <c r="AE1073" s="12" t="b">
        <f t="shared" si="433"/>
        <v>1</v>
      </c>
      <c r="AF1073" s="12" t="b">
        <f t="shared" si="434"/>
        <v>1</v>
      </c>
    </row>
    <row r="1074" spans="1:32" s="12" customFormat="1" ht="15.75" customHeight="1">
      <c r="A1074" s="285"/>
      <c r="B1074" s="83" t="s">
        <v>178</v>
      </c>
      <c r="C1074" s="57" t="s">
        <v>17</v>
      </c>
      <c r="D1074" s="57" t="s">
        <v>7</v>
      </c>
      <c r="E1074" s="57" t="s">
        <v>98</v>
      </c>
      <c r="F1074" s="57" t="s">
        <v>437</v>
      </c>
      <c r="G1074" s="57" t="s">
        <v>90</v>
      </c>
      <c r="H1074" s="58">
        <f t="shared" si="437"/>
        <v>4148.5700000000006</v>
      </c>
      <c r="I1074" s="58">
        <f t="shared" si="437"/>
        <v>4148.5700000000006</v>
      </c>
      <c r="J1074" s="58">
        <f t="shared" si="437"/>
        <v>4148.5700000000006</v>
      </c>
      <c r="K1074" s="58">
        <v>4148.5700000000006</v>
      </c>
      <c r="L1074" s="58">
        <v>4148.5700000000006</v>
      </c>
      <c r="M1074" s="58">
        <v>4148.5700000000006</v>
      </c>
      <c r="N1074" s="58"/>
      <c r="O1074" s="58">
        <v>4148.5700000000006</v>
      </c>
      <c r="P1074" s="58">
        <v>4148.5700000000006</v>
      </c>
      <c r="Q1074" s="58">
        <v>4148.5700000000006</v>
      </c>
      <c r="R1074" s="472">
        <f t="shared" si="423"/>
        <v>0</v>
      </c>
      <c r="S1074" s="472">
        <f t="shared" si="424"/>
        <v>0</v>
      </c>
      <c r="T1074" s="472">
        <f t="shared" si="425"/>
        <v>0</v>
      </c>
      <c r="U1074" s="83" t="s">
        <v>178</v>
      </c>
      <c r="V1074" s="57" t="s">
        <v>17</v>
      </c>
      <c r="W1074" s="57" t="s">
        <v>7</v>
      </c>
      <c r="X1074" s="57" t="s">
        <v>98</v>
      </c>
      <c r="Y1074" s="57" t="s">
        <v>437</v>
      </c>
      <c r="Z1074" s="57" t="s">
        <v>90</v>
      </c>
      <c r="AA1074" s="12" t="b">
        <f t="shared" si="429"/>
        <v>1</v>
      </c>
      <c r="AB1074" s="12" t="b">
        <f t="shared" si="430"/>
        <v>1</v>
      </c>
      <c r="AC1074" s="12" t="b">
        <f t="shared" si="431"/>
        <v>1</v>
      </c>
      <c r="AD1074" s="12" t="b">
        <f t="shared" si="432"/>
        <v>1</v>
      </c>
      <c r="AE1074" s="12" t="b">
        <f t="shared" si="433"/>
        <v>1</v>
      </c>
      <c r="AF1074" s="12" t="b">
        <f t="shared" si="434"/>
        <v>1</v>
      </c>
    </row>
    <row r="1075" spans="1:32" s="12" customFormat="1" ht="15.75" customHeight="1">
      <c r="A1075" s="285"/>
      <c r="B1075" s="182" t="s">
        <v>145</v>
      </c>
      <c r="C1075" s="37" t="s">
        <v>17</v>
      </c>
      <c r="D1075" s="37" t="s">
        <v>7</v>
      </c>
      <c r="E1075" s="37" t="s">
        <v>98</v>
      </c>
      <c r="F1075" s="37" t="s">
        <v>437</v>
      </c>
      <c r="G1075" s="37" t="s">
        <v>153</v>
      </c>
      <c r="H1075" s="183">
        <f>4180.52-21.23-10.72</f>
        <v>4148.5700000000006</v>
      </c>
      <c r="I1075" s="183">
        <f>4180.52-21.23-10.72</f>
        <v>4148.5700000000006</v>
      </c>
      <c r="J1075" s="183">
        <f>4180.52-21.23-10.72</f>
        <v>4148.5700000000006</v>
      </c>
      <c r="K1075" s="183">
        <v>4148.5700000000006</v>
      </c>
      <c r="L1075" s="183">
        <v>4148.5700000000006</v>
      </c>
      <c r="M1075" s="183">
        <v>4148.5700000000006</v>
      </c>
      <c r="N1075" s="183"/>
      <c r="O1075" s="183">
        <v>4148.5700000000006</v>
      </c>
      <c r="P1075" s="183">
        <v>4148.5700000000006</v>
      </c>
      <c r="Q1075" s="183">
        <v>4148.5700000000006</v>
      </c>
      <c r="R1075" s="472">
        <f t="shared" si="423"/>
        <v>0</v>
      </c>
      <c r="S1075" s="472">
        <f t="shared" si="424"/>
        <v>0</v>
      </c>
      <c r="T1075" s="472">
        <f t="shared" si="425"/>
        <v>0</v>
      </c>
      <c r="U1075" s="182" t="s">
        <v>145</v>
      </c>
      <c r="V1075" s="37" t="s">
        <v>17</v>
      </c>
      <c r="W1075" s="37" t="s">
        <v>7</v>
      </c>
      <c r="X1075" s="37" t="s">
        <v>98</v>
      </c>
      <c r="Y1075" s="37" t="s">
        <v>437</v>
      </c>
      <c r="Z1075" s="37" t="s">
        <v>153</v>
      </c>
      <c r="AA1075" s="12" t="b">
        <f t="shared" si="429"/>
        <v>1</v>
      </c>
      <c r="AB1075" s="12" t="b">
        <f t="shared" si="430"/>
        <v>1</v>
      </c>
      <c r="AC1075" s="12" t="b">
        <f t="shared" si="431"/>
        <v>1</v>
      </c>
      <c r="AD1075" s="12" t="b">
        <f t="shared" si="432"/>
        <v>1</v>
      </c>
      <c r="AE1075" s="12" t="b">
        <f t="shared" si="433"/>
        <v>1</v>
      </c>
      <c r="AF1075" s="12" t="b">
        <f t="shared" si="434"/>
        <v>1</v>
      </c>
    </row>
    <row r="1076" spans="1:32" s="12" customFormat="1" ht="15.75" customHeight="1">
      <c r="A1076" s="285"/>
      <c r="B1076" s="81" t="s">
        <v>1</v>
      </c>
      <c r="C1076" s="33" t="s">
        <v>17</v>
      </c>
      <c r="D1076" s="34" t="s">
        <v>7</v>
      </c>
      <c r="E1076" s="34" t="s">
        <v>85</v>
      </c>
      <c r="F1076" s="34" t="s">
        <v>223</v>
      </c>
      <c r="G1076" s="34" t="s">
        <v>90</v>
      </c>
      <c r="H1076" s="35">
        <f>H1077</f>
        <v>56349.5</v>
      </c>
      <c r="I1076" s="35">
        <f>I1077</f>
        <v>48852.84</v>
      </c>
      <c r="J1076" s="35">
        <f>J1077</f>
        <v>48869.59</v>
      </c>
      <c r="K1076" s="35">
        <v>56349.5</v>
      </c>
      <c r="L1076" s="35">
        <v>48852.84</v>
      </c>
      <c r="M1076" s="35">
        <v>48869.59</v>
      </c>
      <c r="N1076" s="35"/>
      <c r="O1076" s="35">
        <v>56349.5</v>
      </c>
      <c r="P1076" s="35">
        <v>48852.84</v>
      </c>
      <c r="Q1076" s="35">
        <v>48869.59</v>
      </c>
      <c r="R1076" s="472">
        <f t="shared" si="423"/>
        <v>0</v>
      </c>
      <c r="S1076" s="472">
        <f t="shared" si="424"/>
        <v>0</v>
      </c>
      <c r="T1076" s="472">
        <f t="shared" si="425"/>
        <v>0</v>
      </c>
      <c r="U1076" s="81" t="s">
        <v>1</v>
      </c>
      <c r="V1076" s="33" t="s">
        <v>17</v>
      </c>
      <c r="W1076" s="34" t="s">
        <v>7</v>
      </c>
      <c r="X1076" s="34" t="s">
        <v>85</v>
      </c>
      <c r="Y1076" s="34" t="s">
        <v>223</v>
      </c>
      <c r="Z1076" s="34" t="s">
        <v>90</v>
      </c>
      <c r="AA1076" s="12" t="b">
        <f t="shared" si="429"/>
        <v>1</v>
      </c>
      <c r="AB1076" s="12" t="b">
        <f t="shared" si="430"/>
        <v>1</v>
      </c>
      <c r="AC1076" s="12" t="b">
        <f t="shared" si="431"/>
        <v>1</v>
      </c>
      <c r="AD1076" s="12" t="b">
        <f t="shared" si="432"/>
        <v>1</v>
      </c>
      <c r="AE1076" s="12" t="b">
        <f t="shared" si="433"/>
        <v>1</v>
      </c>
      <c r="AF1076" s="12" t="b">
        <f t="shared" si="434"/>
        <v>1</v>
      </c>
    </row>
    <row r="1077" spans="1:32" s="12" customFormat="1" ht="15.75" customHeight="1">
      <c r="A1077" s="285"/>
      <c r="B1077" s="23" t="s">
        <v>1166</v>
      </c>
      <c r="C1077" s="57" t="s">
        <v>17</v>
      </c>
      <c r="D1077" s="57" t="s">
        <v>7</v>
      </c>
      <c r="E1077" s="57" t="s">
        <v>85</v>
      </c>
      <c r="F1077" s="57" t="s">
        <v>296</v>
      </c>
      <c r="G1077" s="57" t="s">
        <v>90</v>
      </c>
      <c r="H1077" s="58">
        <f t="shared" ref="H1077:J1078" si="438">H1078</f>
        <v>56349.5</v>
      </c>
      <c r="I1077" s="58">
        <f t="shared" si="438"/>
        <v>48852.84</v>
      </c>
      <c r="J1077" s="58">
        <f t="shared" si="438"/>
        <v>48869.59</v>
      </c>
      <c r="K1077" s="58">
        <v>56349.5</v>
      </c>
      <c r="L1077" s="58">
        <v>48852.84</v>
      </c>
      <c r="M1077" s="58">
        <v>48869.59</v>
      </c>
      <c r="N1077" s="58"/>
      <c r="O1077" s="58">
        <v>56349.5</v>
      </c>
      <c r="P1077" s="58">
        <v>48852.84</v>
      </c>
      <c r="Q1077" s="58">
        <v>48869.59</v>
      </c>
      <c r="R1077" s="472">
        <f t="shared" si="423"/>
        <v>0</v>
      </c>
      <c r="S1077" s="472">
        <f t="shared" si="424"/>
        <v>0</v>
      </c>
      <c r="T1077" s="472">
        <f t="shared" si="425"/>
        <v>0</v>
      </c>
      <c r="U1077" s="23" t="s">
        <v>1166</v>
      </c>
      <c r="V1077" s="57" t="s">
        <v>17</v>
      </c>
      <c r="W1077" s="57" t="s">
        <v>7</v>
      </c>
      <c r="X1077" s="57" t="s">
        <v>85</v>
      </c>
      <c r="Y1077" s="57" t="s">
        <v>296</v>
      </c>
      <c r="Z1077" s="57" t="s">
        <v>90</v>
      </c>
      <c r="AA1077" s="12" t="b">
        <f t="shared" si="429"/>
        <v>1</v>
      </c>
      <c r="AB1077" s="12" t="b">
        <f t="shared" si="430"/>
        <v>1</v>
      </c>
      <c r="AC1077" s="12" t="b">
        <f t="shared" si="431"/>
        <v>1</v>
      </c>
      <c r="AD1077" s="12" t="b">
        <f t="shared" si="432"/>
        <v>1</v>
      </c>
      <c r="AE1077" s="12" t="b">
        <f t="shared" si="433"/>
        <v>1</v>
      </c>
      <c r="AF1077" s="12" t="b">
        <f t="shared" si="434"/>
        <v>1</v>
      </c>
    </row>
    <row r="1078" spans="1:32" s="12" customFormat="1" ht="15.75" customHeight="1">
      <c r="A1078" s="285"/>
      <c r="B1078" s="182" t="s">
        <v>836</v>
      </c>
      <c r="C1078" s="57" t="s">
        <v>17</v>
      </c>
      <c r="D1078" s="57" t="s">
        <v>7</v>
      </c>
      <c r="E1078" s="57" t="s">
        <v>85</v>
      </c>
      <c r="F1078" s="57" t="s">
        <v>404</v>
      </c>
      <c r="G1078" s="57" t="s">
        <v>90</v>
      </c>
      <c r="H1078" s="58">
        <f t="shared" si="438"/>
        <v>56349.5</v>
      </c>
      <c r="I1078" s="58">
        <f t="shared" si="438"/>
        <v>48852.84</v>
      </c>
      <c r="J1078" s="58">
        <f t="shared" si="438"/>
        <v>48869.59</v>
      </c>
      <c r="K1078" s="58">
        <v>56349.5</v>
      </c>
      <c r="L1078" s="58">
        <v>48852.84</v>
      </c>
      <c r="M1078" s="58">
        <v>48869.59</v>
      </c>
      <c r="N1078" s="58"/>
      <c r="O1078" s="58">
        <v>56349.5</v>
      </c>
      <c r="P1078" s="58">
        <v>48852.84</v>
      </c>
      <c r="Q1078" s="58">
        <v>48869.59</v>
      </c>
      <c r="R1078" s="472">
        <f t="shared" si="423"/>
        <v>0</v>
      </c>
      <c r="S1078" s="472">
        <f t="shared" si="424"/>
        <v>0</v>
      </c>
      <c r="T1078" s="472">
        <f t="shared" si="425"/>
        <v>0</v>
      </c>
      <c r="U1078" s="182" t="s">
        <v>836</v>
      </c>
      <c r="V1078" s="57" t="s">
        <v>17</v>
      </c>
      <c r="W1078" s="57" t="s">
        <v>7</v>
      </c>
      <c r="X1078" s="57" t="s">
        <v>85</v>
      </c>
      <c r="Y1078" s="57" t="s">
        <v>404</v>
      </c>
      <c r="Z1078" s="57" t="s">
        <v>90</v>
      </c>
      <c r="AA1078" s="12" t="b">
        <f t="shared" si="429"/>
        <v>1</v>
      </c>
      <c r="AB1078" s="12" t="b">
        <f t="shared" si="430"/>
        <v>1</v>
      </c>
      <c r="AC1078" s="12" t="b">
        <f t="shared" si="431"/>
        <v>1</v>
      </c>
      <c r="AD1078" s="12" t="b">
        <f t="shared" si="432"/>
        <v>1</v>
      </c>
      <c r="AE1078" s="12" t="b">
        <f t="shared" si="433"/>
        <v>1</v>
      </c>
      <c r="AF1078" s="12" t="b">
        <f t="shared" si="434"/>
        <v>1</v>
      </c>
    </row>
    <row r="1079" spans="1:32" s="12" customFormat="1" ht="15.75" customHeight="1">
      <c r="A1079" s="285"/>
      <c r="B1079" s="178" t="s">
        <v>405</v>
      </c>
      <c r="C1079" s="57" t="s">
        <v>17</v>
      </c>
      <c r="D1079" s="57" t="s">
        <v>7</v>
      </c>
      <c r="E1079" s="57" t="s">
        <v>85</v>
      </c>
      <c r="F1079" s="37" t="s">
        <v>555</v>
      </c>
      <c r="G1079" s="57" t="s">
        <v>90</v>
      </c>
      <c r="H1079" s="58">
        <f>H1080+H1082+H1084+H1086</f>
        <v>56349.5</v>
      </c>
      <c r="I1079" s="58">
        <f>I1080+I1082+I1084+I1086</f>
        <v>48852.84</v>
      </c>
      <c r="J1079" s="58">
        <f>J1080+J1082+J1084+J1086</f>
        <v>48869.59</v>
      </c>
      <c r="K1079" s="58">
        <v>56349.5</v>
      </c>
      <c r="L1079" s="58">
        <v>48852.84</v>
      </c>
      <c r="M1079" s="58">
        <v>48869.59</v>
      </c>
      <c r="N1079" s="58"/>
      <c r="O1079" s="58">
        <v>56349.5</v>
      </c>
      <c r="P1079" s="58">
        <v>48852.84</v>
      </c>
      <c r="Q1079" s="58">
        <v>48869.59</v>
      </c>
      <c r="R1079" s="472">
        <f t="shared" si="423"/>
        <v>0</v>
      </c>
      <c r="S1079" s="472">
        <f t="shared" si="424"/>
        <v>0</v>
      </c>
      <c r="T1079" s="472">
        <f t="shared" si="425"/>
        <v>0</v>
      </c>
      <c r="U1079" s="178" t="s">
        <v>405</v>
      </c>
      <c r="V1079" s="57" t="s">
        <v>17</v>
      </c>
      <c r="W1079" s="57" t="s">
        <v>7</v>
      </c>
      <c r="X1079" s="57" t="s">
        <v>85</v>
      </c>
      <c r="Y1079" s="37" t="s">
        <v>555</v>
      </c>
      <c r="Z1079" s="57" t="s">
        <v>90</v>
      </c>
      <c r="AA1079" s="12" t="b">
        <f t="shared" si="429"/>
        <v>1</v>
      </c>
      <c r="AB1079" s="12" t="b">
        <f t="shared" si="430"/>
        <v>1</v>
      </c>
      <c r="AC1079" s="12" t="b">
        <f t="shared" si="431"/>
        <v>1</v>
      </c>
      <c r="AD1079" s="12" t="b">
        <f t="shared" si="432"/>
        <v>1</v>
      </c>
      <c r="AE1079" s="12" t="b">
        <f t="shared" si="433"/>
        <v>1</v>
      </c>
      <c r="AF1079" s="12" t="b">
        <f t="shared" si="434"/>
        <v>1</v>
      </c>
    </row>
    <row r="1080" spans="1:32" s="12" customFormat="1" ht="15.75" customHeight="1">
      <c r="A1080" s="285"/>
      <c r="B1080" s="85" t="s">
        <v>187</v>
      </c>
      <c r="C1080" s="57" t="s">
        <v>17</v>
      </c>
      <c r="D1080" s="57" t="s">
        <v>7</v>
      </c>
      <c r="E1080" s="57" t="s">
        <v>85</v>
      </c>
      <c r="F1080" s="37" t="s">
        <v>556</v>
      </c>
      <c r="G1080" s="57" t="s">
        <v>90</v>
      </c>
      <c r="H1080" s="58">
        <f t="shared" ref="H1080:J1080" si="439">H1081</f>
        <v>43484.63</v>
      </c>
      <c r="I1080" s="58">
        <f t="shared" si="439"/>
        <v>47911.119999999995</v>
      </c>
      <c r="J1080" s="58">
        <f t="shared" si="439"/>
        <v>47927.869999999995</v>
      </c>
      <c r="K1080" s="58">
        <v>43484.63</v>
      </c>
      <c r="L1080" s="58">
        <v>47911.119999999995</v>
      </c>
      <c r="M1080" s="58">
        <v>47927.869999999995</v>
      </c>
      <c r="N1080" s="58"/>
      <c r="O1080" s="58">
        <v>43484.63</v>
      </c>
      <c r="P1080" s="58">
        <v>47911.119999999995</v>
      </c>
      <c r="Q1080" s="58">
        <v>47927.869999999995</v>
      </c>
      <c r="R1080" s="472">
        <f t="shared" si="423"/>
        <v>0</v>
      </c>
      <c r="S1080" s="472">
        <f t="shared" si="424"/>
        <v>0</v>
      </c>
      <c r="T1080" s="472">
        <f t="shared" si="425"/>
        <v>0</v>
      </c>
      <c r="U1080" s="85" t="s">
        <v>187</v>
      </c>
      <c r="V1080" s="57" t="s">
        <v>17</v>
      </c>
      <c r="W1080" s="57" t="s">
        <v>7</v>
      </c>
      <c r="X1080" s="57" t="s">
        <v>85</v>
      </c>
      <c r="Y1080" s="37" t="s">
        <v>556</v>
      </c>
      <c r="Z1080" s="57" t="s">
        <v>90</v>
      </c>
      <c r="AA1080" s="12" t="b">
        <f t="shared" si="429"/>
        <v>1</v>
      </c>
      <c r="AB1080" s="12" t="b">
        <f t="shared" si="430"/>
        <v>1</v>
      </c>
      <c r="AC1080" s="12" t="b">
        <f t="shared" si="431"/>
        <v>1</v>
      </c>
      <c r="AD1080" s="12" t="b">
        <f t="shared" si="432"/>
        <v>1</v>
      </c>
      <c r="AE1080" s="12" t="b">
        <f t="shared" si="433"/>
        <v>1</v>
      </c>
      <c r="AF1080" s="12" t="b">
        <f t="shared" si="434"/>
        <v>1</v>
      </c>
    </row>
    <row r="1081" spans="1:32" s="12" customFormat="1" ht="15.75" customHeight="1">
      <c r="A1081" s="285"/>
      <c r="B1081" s="182" t="s">
        <v>145</v>
      </c>
      <c r="C1081" s="37" t="s">
        <v>17</v>
      </c>
      <c r="D1081" s="37" t="s">
        <v>7</v>
      </c>
      <c r="E1081" s="37" t="s">
        <v>85</v>
      </c>
      <c r="F1081" s="37" t="s">
        <v>556</v>
      </c>
      <c r="G1081" s="37" t="s">
        <v>153</v>
      </c>
      <c r="H1081" s="183">
        <f>47065.25+709.95+346.2-21.88-612.4+7.89-4410.38+400</f>
        <v>43484.63</v>
      </c>
      <c r="I1081" s="183">
        <f>47065.25+709.95+346.2-21.88-612.4+24+400</f>
        <v>47911.119999999995</v>
      </c>
      <c r="J1081" s="183">
        <f>47065.25+709.95+346.2-21.88-612.4+16.75+24+400</f>
        <v>47927.869999999995</v>
      </c>
      <c r="K1081" s="183">
        <v>43484.63</v>
      </c>
      <c r="L1081" s="183">
        <v>47911.119999999995</v>
      </c>
      <c r="M1081" s="183">
        <v>47927.869999999995</v>
      </c>
      <c r="N1081" s="183"/>
      <c r="O1081" s="183">
        <v>43484.63</v>
      </c>
      <c r="P1081" s="183">
        <v>47911.119999999995</v>
      </c>
      <c r="Q1081" s="183">
        <v>47927.869999999995</v>
      </c>
      <c r="R1081" s="472">
        <f t="shared" si="423"/>
        <v>0</v>
      </c>
      <c r="S1081" s="472">
        <f t="shared" si="424"/>
        <v>0</v>
      </c>
      <c r="T1081" s="472">
        <f t="shared" si="425"/>
        <v>0</v>
      </c>
      <c r="U1081" s="182" t="s">
        <v>145</v>
      </c>
      <c r="V1081" s="37" t="s">
        <v>17</v>
      </c>
      <c r="W1081" s="37" t="s">
        <v>7</v>
      </c>
      <c r="X1081" s="37" t="s">
        <v>85</v>
      </c>
      <c r="Y1081" s="37" t="s">
        <v>556</v>
      </c>
      <c r="Z1081" s="37" t="s">
        <v>153</v>
      </c>
      <c r="AA1081" s="12" t="b">
        <f t="shared" si="429"/>
        <v>1</v>
      </c>
      <c r="AB1081" s="12" t="b">
        <f t="shared" si="430"/>
        <v>1</v>
      </c>
      <c r="AC1081" s="12" t="b">
        <f t="shared" si="431"/>
        <v>1</v>
      </c>
      <c r="AD1081" s="12" t="b">
        <f t="shared" si="432"/>
        <v>1</v>
      </c>
      <c r="AE1081" s="12" t="b">
        <f t="shared" si="433"/>
        <v>1</v>
      </c>
      <c r="AF1081" s="12" t="b">
        <f t="shared" si="434"/>
        <v>1</v>
      </c>
    </row>
    <row r="1082" spans="1:32" s="12" customFormat="1" ht="15.75" customHeight="1">
      <c r="A1082" s="285"/>
      <c r="B1082" s="182" t="s">
        <v>756</v>
      </c>
      <c r="C1082" s="37" t="s">
        <v>17</v>
      </c>
      <c r="D1082" s="37" t="s">
        <v>7</v>
      </c>
      <c r="E1082" s="37" t="s">
        <v>85</v>
      </c>
      <c r="F1082" s="37" t="s">
        <v>772</v>
      </c>
      <c r="G1082" s="37" t="s">
        <v>90</v>
      </c>
      <c r="H1082" s="183">
        <f>H1083</f>
        <v>941.72</v>
      </c>
      <c r="I1082" s="183">
        <f>I1083</f>
        <v>941.72</v>
      </c>
      <c r="J1082" s="183">
        <f>J1083</f>
        <v>941.72</v>
      </c>
      <c r="K1082" s="183">
        <v>941.72</v>
      </c>
      <c r="L1082" s="183">
        <v>941.72</v>
      </c>
      <c r="M1082" s="183">
        <v>941.72</v>
      </c>
      <c r="N1082" s="183"/>
      <c r="O1082" s="183">
        <v>941.72</v>
      </c>
      <c r="P1082" s="183">
        <v>941.72</v>
      </c>
      <c r="Q1082" s="183">
        <v>941.72</v>
      </c>
      <c r="R1082" s="472">
        <f t="shared" si="423"/>
        <v>0</v>
      </c>
      <c r="S1082" s="472">
        <f t="shared" si="424"/>
        <v>0</v>
      </c>
      <c r="T1082" s="472">
        <f t="shared" si="425"/>
        <v>0</v>
      </c>
      <c r="U1082" s="182" t="s">
        <v>756</v>
      </c>
      <c r="V1082" s="37" t="s">
        <v>17</v>
      </c>
      <c r="W1082" s="37" t="s">
        <v>7</v>
      </c>
      <c r="X1082" s="37" t="s">
        <v>85</v>
      </c>
      <c r="Y1082" s="37" t="s">
        <v>772</v>
      </c>
      <c r="Z1082" s="37" t="s">
        <v>90</v>
      </c>
      <c r="AA1082" s="12" t="b">
        <f t="shared" si="429"/>
        <v>1</v>
      </c>
      <c r="AB1082" s="12" t="b">
        <f t="shared" si="430"/>
        <v>1</v>
      </c>
      <c r="AC1082" s="12" t="b">
        <f t="shared" si="431"/>
        <v>1</v>
      </c>
      <c r="AD1082" s="12" t="b">
        <f t="shared" si="432"/>
        <v>1</v>
      </c>
      <c r="AE1082" s="12" t="b">
        <f t="shared" si="433"/>
        <v>1</v>
      </c>
      <c r="AF1082" s="12" t="b">
        <f t="shared" si="434"/>
        <v>1</v>
      </c>
    </row>
    <row r="1083" spans="1:32" s="12" customFormat="1" ht="15.75" customHeight="1">
      <c r="A1083" s="285"/>
      <c r="B1083" s="182" t="s">
        <v>145</v>
      </c>
      <c r="C1083" s="37" t="s">
        <v>17</v>
      </c>
      <c r="D1083" s="37" t="s">
        <v>7</v>
      </c>
      <c r="E1083" s="37" t="s">
        <v>85</v>
      </c>
      <c r="F1083" s="37" t="s">
        <v>772</v>
      </c>
      <c r="G1083" s="37" t="s">
        <v>153</v>
      </c>
      <c r="H1083" s="183">
        <v>941.72</v>
      </c>
      <c r="I1083" s="183">
        <v>941.72</v>
      </c>
      <c r="J1083" s="183">
        <v>941.72</v>
      </c>
      <c r="K1083" s="183">
        <v>941.72</v>
      </c>
      <c r="L1083" s="183">
        <v>941.72</v>
      </c>
      <c r="M1083" s="183">
        <v>941.72</v>
      </c>
      <c r="N1083" s="183"/>
      <c r="O1083" s="183">
        <v>941.72</v>
      </c>
      <c r="P1083" s="183">
        <v>941.72</v>
      </c>
      <c r="Q1083" s="183">
        <v>941.72</v>
      </c>
      <c r="R1083" s="472">
        <f t="shared" si="423"/>
        <v>0</v>
      </c>
      <c r="S1083" s="472">
        <f t="shared" si="424"/>
        <v>0</v>
      </c>
      <c r="T1083" s="472">
        <f t="shared" si="425"/>
        <v>0</v>
      </c>
      <c r="U1083" s="182" t="s">
        <v>145</v>
      </c>
      <c r="V1083" s="37" t="s">
        <v>17</v>
      </c>
      <c r="W1083" s="37" t="s">
        <v>7</v>
      </c>
      <c r="X1083" s="37" t="s">
        <v>85</v>
      </c>
      <c r="Y1083" s="37" t="s">
        <v>772</v>
      </c>
      <c r="Z1083" s="37" t="s">
        <v>153</v>
      </c>
      <c r="AA1083" s="12" t="b">
        <f t="shared" si="429"/>
        <v>1</v>
      </c>
      <c r="AB1083" s="12" t="b">
        <f t="shared" si="430"/>
        <v>1</v>
      </c>
      <c r="AC1083" s="12" t="b">
        <f t="shared" si="431"/>
        <v>1</v>
      </c>
      <c r="AD1083" s="12" t="b">
        <f t="shared" si="432"/>
        <v>1</v>
      </c>
      <c r="AE1083" s="12" t="b">
        <f t="shared" si="433"/>
        <v>1</v>
      </c>
      <c r="AF1083" s="12" t="b">
        <f t="shared" si="434"/>
        <v>1</v>
      </c>
    </row>
    <row r="1084" spans="1:32" s="12" customFormat="1" ht="15.75" customHeight="1">
      <c r="A1084" s="285" t="s">
        <v>899</v>
      </c>
      <c r="B1084" s="182" t="s">
        <v>1148</v>
      </c>
      <c r="C1084" s="37" t="s">
        <v>17</v>
      </c>
      <c r="D1084" s="37" t="s">
        <v>7</v>
      </c>
      <c r="E1084" s="37" t="s">
        <v>85</v>
      </c>
      <c r="F1084" s="37" t="s">
        <v>1159</v>
      </c>
      <c r="G1084" s="37" t="s">
        <v>90</v>
      </c>
      <c r="H1084" s="183">
        <f>H1085</f>
        <v>1500</v>
      </c>
      <c r="I1084" s="183"/>
      <c r="J1084" s="183"/>
      <c r="K1084" s="183">
        <v>1500</v>
      </c>
      <c r="L1084" s="183"/>
      <c r="M1084" s="183"/>
      <c r="N1084" s="183"/>
      <c r="O1084" s="183">
        <v>1500</v>
      </c>
      <c r="P1084" s="183"/>
      <c r="Q1084" s="183"/>
      <c r="R1084" s="472">
        <f t="shared" si="423"/>
        <v>0</v>
      </c>
      <c r="S1084" s="472">
        <f t="shared" si="424"/>
        <v>0</v>
      </c>
      <c r="T1084" s="472">
        <f t="shared" si="425"/>
        <v>0</v>
      </c>
      <c r="U1084" s="182" t="s">
        <v>1148</v>
      </c>
      <c r="V1084" s="37" t="s">
        <v>17</v>
      </c>
      <c r="W1084" s="37" t="s">
        <v>7</v>
      </c>
      <c r="X1084" s="37" t="s">
        <v>85</v>
      </c>
      <c r="Y1084" s="37" t="s">
        <v>1159</v>
      </c>
      <c r="Z1084" s="37" t="s">
        <v>90</v>
      </c>
      <c r="AA1084" s="12" t="b">
        <f t="shared" si="429"/>
        <v>1</v>
      </c>
      <c r="AB1084" s="12" t="b">
        <f t="shared" si="430"/>
        <v>1</v>
      </c>
      <c r="AC1084" s="12" t="b">
        <f t="shared" si="431"/>
        <v>1</v>
      </c>
      <c r="AD1084" s="12" t="b">
        <f t="shared" si="432"/>
        <v>1</v>
      </c>
      <c r="AE1084" s="12" t="b">
        <f t="shared" si="433"/>
        <v>1</v>
      </c>
      <c r="AF1084" s="12" t="b">
        <f t="shared" si="434"/>
        <v>1</v>
      </c>
    </row>
    <row r="1085" spans="1:32" s="12" customFormat="1" ht="15.75" customHeight="1">
      <c r="A1085" s="285"/>
      <c r="B1085" s="182" t="s">
        <v>145</v>
      </c>
      <c r="C1085" s="37" t="s">
        <v>17</v>
      </c>
      <c r="D1085" s="37" t="s">
        <v>7</v>
      </c>
      <c r="E1085" s="37" t="s">
        <v>85</v>
      </c>
      <c r="F1085" s="37" t="s">
        <v>1159</v>
      </c>
      <c r="G1085" s="37" t="s">
        <v>153</v>
      </c>
      <c r="H1085" s="183">
        <v>1500</v>
      </c>
      <c r="I1085" s="183"/>
      <c r="J1085" s="183"/>
      <c r="K1085" s="183">
        <v>1500</v>
      </c>
      <c r="L1085" s="183"/>
      <c r="M1085" s="183"/>
      <c r="N1085" s="183"/>
      <c r="O1085" s="183">
        <v>1500</v>
      </c>
      <c r="P1085" s="183"/>
      <c r="Q1085" s="183"/>
      <c r="R1085" s="472">
        <f t="shared" ref="R1085:R1111" si="440">H1085-O1085</f>
        <v>0</v>
      </c>
      <c r="S1085" s="472">
        <f t="shared" ref="S1085:S1111" si="441">I1085-P1085</f>
        <v>0</v>
      </c>
      <c r="T1085" s="472">
        <f t="shared" ref="T1085:T1111" si="442">J1085-Q1085</f>
        <v>0</v>
      </c>
      <c r="U1085" s="182" t="s">
        <v>145</v>
      </c>
      <c r="V1085" s="37" t="s">
        <v>17</v>
      </c>
      <c r="W1085" s="37" t="s">
        <v>7</v>
      </c>
      <c r="X1085" s="37" t="s">
        <v>85</v>
      </c>
      <c r="Y1085" s="37" t="s">
        <v>1159</v>
      </c>
      <c r="Z1085" s="37" t="s">
        <v>153</v>
      </c>
      <c r="AA1085" s="12" t="b">
        <f t="shared" si="429"/>
        <v>1</v>
      </c>
      <c r="AB1085" s="12" t="b">
        <f t="shared" si="430"/>
        <v>1</v>
      </c>
      <c r="AC1085" s="12" t="b">
        <f t="shared" si="431"/>
        <v>1</v>
      </c>
      <c r="AD1085" s="12" t="b">
        <f t="shared" si="432"/>
        <v>1</v>
      </c>
      <c r="AE1085" s="12" t="b">
        <f t="shared" si="433"/>
        <v>1</v>
      </c>
      <c r="AF1085" s="12" t="b">
        <f t="shared" si="434"/>
        <v>1</v>
      </c>
    </row>
    <row r="1086" spans="1:32" s="12" customFormat="1" ht="15.75" customHeight="1">
      <c r="A1086" s="285"/>
      <c r="B1086" s="182" t="s">
        <v>1149</v>
      </c>
      <c r="C1086" s="37" t="s">
        <v>17</v>
      </c>
      <c r="D1086" s="37" t="s">
        <v>7</v>
      </c>
      <c r="E1086" s="37" t="s">
        <v>85</v>
      </c>
      <c r="F1086" s="37" t="s">
        <v>1160</v>
      </c>
      <c r="G1086" s="37" t="s">
        <v>90</v>
      </c>
      <c r="H1086" s="183">
        <f>H1087</f>
        <v>10423.15</v>
      </c>
      <c r="I1086" s="58"/>
      <c r="J1086" s="58"/>
      <c r="K1086" s="58">
        <v>10423.15</v>
      </c>
      <c r="L1086" s="58"/>
      <c r="M1086" s="58"/>
      <c r="N1086" s="58"/>
      <c r="O1086" s="58">
        <v>10423.15</v>
      </c>
      <c r="P1086" s="58"/>
      <c r="Q1086" s="58"/>
      <c r="R1086" s="472">
        <f t="shared" si="440"/>
        <v>0</v>
      </c>
      <c r="S1086" s="472">
        <f t="shared" si="441"/>
        <v>0</v>
      </c>
      <c r="T1086" s="472">
        <f t="shared" si="442"/>
        <v>0</v>
      </c>
      <c r="U1086" s="182" t="s">
        <v>1149</v>
      </c>
      <c r="V1086" s="37" t="s">
        <v>17</v>
      </c>
      <c r="W1086" s="37" t="s">
        <v>7</v>
      </c>
      <c r="X1086" s="37" t="s">
        <v>85</v>
      </c>
      <c r="Y1086" s="37" t="s">
        <v>1160</v>
      </c>
      <c r="Z1086" s="37" t="s">
        <v>90</v>
      </c>
      <c r="AA1086" s="12" t="b">
        <f t="shared" si="429"/>
        <v>1</v>
      </c>
      <c r="AB1086" s="12" t="b">
        <f t="shared" si="430"/>
        <v>1</v>
      </c>
      <c r="AC1086" s="12" t="b">
        <f t="shared" si="431"/>
        <v>1</v>
      </c>
      <c r="AD1086" s="12" t="b">
        <f t="shared" si="432"/>
        <v>1</v>
      </c>
      <c r="AE1086" s="12" t="b">
        <f t="shared" si="433"/>
        <v>1</v>
      </c>
      <c r="AF1086" s="12" t="b">
        <f t="shared" si="434"/>
        <v>1</v>
      </c>
    </row>
    <row r="1087" spans="1:32" s="12" customFormat="1" ht="15.75" customHeight="1">
      <c r="A1087" s="285"/>
      <c r="B1087" s="182" t="s">
        <v>145</v>
      </c>
      <c r="C1087" s="37" t="s">
        <v>17</v>
      </c>
      <c r="D1087" s="37" t="s">
        <v>7</v>
      </c>
      <c r="E1087" s="37" t="s">
        <v>85</v>
      </c>
      <c r="F1087" s="37" t="s">
        <v>1160</v>
      </c>
      <c r="G1087" s="37" t="s">
        <v>153</v>
      </c>
      <c r="H1087" s="183">
        <v>10423.15</v>
      </c>
      <c r="I1087" s="183"/>
      <c r="J1087" s="183"/>
      <c r="K1087" s="183">
        <v>10423.15</v>
      </c>
      <c r="L1087" s="183"/>
      <c r="M1087" s="183"/>
      <c r="N1087" s="183"/>
      <c r="O1087" s="183">
        <v>10423.15</v>
      </c>
      <c r="P1087" s="183"/>
      <c r="Q1087" s="183"/>
      <c r="R1087" s="472">
        <f t="shared" si="440"/>
        <v>0</v>
      </c>
      <c r="S1087" s="472">
        <f t="shared" si="441"/>
        <v>0</v>
      </c>
      <c r="T1087" s="472">
        <f t="shared" si="442"/>
        <v>0</v>
      </c>
      <c r="U1087" s="182" t="s">
        <v>145</v>
      </c>
      <c r="V1087" s="37" t="s">
        <v>17</v>
      </c>
      <c r="W1087" s="37" t="s">
        <v>7</v>
      </c>
      <c r="X1087" s="37" t="s">
        <v>85</v>
      </c>
      <c r="Y1087" s="37" t="s">
        <v>1160</v>
      </c>
      <c r="Z1087" s="37" t="s">
        <v>153</v>
      </c>
      <c r="AA1087" s="12" t="b">
        <f t="shared" si="429"/>
        <v>1</v>
      </c>
      <c r="AB1087" s="12" t="b">
        <f t="shared" si="430"/>
        <v>1</v>
      </c>
      <c r="AC1087" s="12" t="b">
        <f t="shared" si="431"/>
        <v>1</v>
      </c>
      <c r="AD1087" s="12" t="b">
        <f t="shared" si="432"/>
        <v>1</v>
      </c>
      <c r="AE1087" s="12" t="b">
        <f t="shared" si="433"/>
        <v>1</v>
      </c>
      <c r="AF1087" s="12" t="b">
        <f t="shared" si="434"/>
        <v>1</v>
      </c>
    </row>
    <row r="1088" spans="1:32" s="12" customFormat="1" ht="15.75" customHeight="1">
      <c r="A1088" s="285"/>
      <c r="B1088" s="28" t="s">
        <v>123</v>
      </c>
      <c r="C1088" s="29" t="s">
        <v>17</v>
      </c>
      <c r="D1088" s="30" t="s">
        <v>82</v>
      </c>
      <c r="E1088" s="30" t="s">
        <v>83</v>
      </c>
      <c r="F1088" s="30" t="s">
        <v>223</v>
      </c>
      <c r="G1088" s="30" t="s">
        <v>90</v>
      </c>
      <c r="H1088" s="31">
        <f t="shared" ref="H1088:J1091" si="443">H1089</f>
        <v>3833.13</v>
      </c>
      <c r="I1088" s="31">
        <f t="shared" si="443"/>
        <v>2462.5</v>
      </c>
      <c r="J1088" s="31">
        <f t="shared" si="443"/>
        <v>2462.5</v>
      </c>
      <c r="K1088" s="31">
        <v>3833.13</v>
      </c>
      <c r="L1088" s="31">
        <v>2462.5</v>
      </c>
      <c r="M1088" s="31">
        <v>2462.5</v>
      </c>
      <c r="N1088" s="31"/>
      <c r="O1088" s="31">
        <v>3833.13</v>
      </c>
      <c r="P1088" s="31">
        <v>2462.5</v>
      </c>
      <c r="Q1088" s="31">
        <v>2462.5</v>
      </c>
      <c r="R1088" s="472">
        <f t="shared" si="440"/>
        <v>0</v>
      </c>
      <c r="S1088" s="472">
        <f t="shared" si="441"/>
        <v>0</v>
      </c>
      <c r="T1088" s="472">
        <f t="shared" si="442"/>
        <v>0</v>
      </c>
      <c r="U1088" s="28" t="s">
        <v>123</v>
      </c>
      <c r="V1088" s="29" t="s">
        <v>17</v>
      </c>
      <c r="W1088" s="30" t="s">
        <v>82</v>
      </c>
      <c r="X1088" s="30" t="s">
        <v>83</v>
      </c>
      <c r="Y1088" s="30" t="s">
        <v>223</v>
      </c>
      <c r="Z1088" s="30" t="s">
        <v>90</v>
      </c>
      <c r="AA1088" s="12" t="b">
        <f t="shared" si="429"/>
        <v>1</v>
      </c>
      <c r="AB1088" s="12" t="b">
        <f t="shared" si="430"/>
        <v>1</v>
      </c>
      <c r="AC1088" s="12" t="b">
        <f t="shared" si="431"/>
        <v>1</v>
      </c>
      <c r="AD1088" s="12" t="b">
        <f t="shared" si="432"/>
        <v>1</v>
      </c>
      <c r="AE1088" s="12" t="b">
        <f t="shared" si="433"/>
        <v>1</v>
      </c>
      <c r="AF1088" s="12" t="b">
        <f t="shared" si="434"/>
        <v>1</v>
      </c>
    </row>
    <row r="1089" spans="1:32" s="12" customFormat="1" ht="15.75" customHeight="1">
      <c r="A1089" s="285"/>
      <c r="B1089" s="81" t="s">
        <v>35</v>
      </c>
      <c r="C1089" s="33" t="s">
        <v>17</v>
      </c>
      <c r="D1089" s="34" t="s">
        <v>82</v>
      </c>
      <c r="E1089" s="34" t="s">
        <v>98</v>
      </c>
      <c r="F1089" s="34" t="s">
        <v>223</v>
      </c>
      <c r="G1089" s="34" t="s">
        <v>90</v>
      </c>
      <c r="H1089" s="35">
        <f>H1090</f>
        <v>3833.13</v>
      </c>
      <c r="I1089" s="35">
        <f t="shared" si="443"/>
        <v>2462.5</v>
      </c>
      <c r="J1089" s="35">
        <f t="shared" si="443"/>
        <v>2462.5</v>
      </c>
      <c r="K1089" s="35">
        <v>3833.13</v>
      </c>
      <c r="L1089" s="35">
        <v>2462.5</v>
      </c>
      <c r="M1089" s="35">
        <v>2462.5</v>
      </c>
      <c r="N1089" s="35"/>
      <c r="O1089" s="35">
        <v>3833.13</v>
      </c>
      <c r="P1089" s="35">
        <v>2462.5</v>
      </c>
      <c r="Q1089" s="35">
        <v>2462.5</v>
      </c>
      <c r="R1089" s="472">
        <f t="shared" si="440"/>
        <v>0</v>
      </c>
      <c r="S1089" s="472">
        <f t="shared" si="441"/>
        <v>0</v>
      </c>
      <c r="T1089" s="472">
        <f t="shared" si="442"/>
        <v>0</v>
      </c>
      <c r="U1089" s="81" t="s">
        <v>35</v>
      </c>
      <c r="V1089" s="33" t="s">
        <v>17</v>
      </c>
      <c r="W1089" s="34" t="s">
        <v>82</v>
      </c>
      <c r="X1089" s="34" t="s">
        <v>98</v>
      </c>
      <c r="Y1089" s="34" t="s">
        <v>223</v>
      </c>
      <c r="Z1089" s="34" t="s">
        <v>90</v>
      </c>
      <c r="AA1089" s="12" t="b">
        <f t="shared" si="429"/>
        <v>1</v>
      </c>
      <c r="AB1089" s="12" t="b">
        <f t="shared" si="430"/>
        <v>1</v>
      </c>
      <c r="AC1089" s="12" t="b">
        <f t="shared" si="431"/>
        <v>1</v>
      </c>
      <c r="AD1089" s="12" t="b">
        <f t="shared" si="432"/>
        <v>1</v>
      </c>
      <c r="AE1089" s="12" t="b">
        <f t="shared" si="433"/>
        <v>1</v>
      </c>
      <c r="AF1089" s="12" t="b">
        <f t="shared" si="434"/>
        <v>1</v>
      </c>
    </row>
    <row r="1090" spans="1:32" s="12" customFormat="1" ht="15.75" customHeight="1">
      <c r="A1090" s="285"/>
      <c r="B1090" s="182" t="s">
        <v>656</v>
      </c>
      <c r="C1090" s="37" t="s">
        <v>17</v>
      </c>
      <c r="D1090" s="37" t="s">
        <v>82</v>
      </c>
      <c r="E1090" s="37" t="s">
        <v>98</v>
      </c>
      <c r="F1090" s="37" t="s">
        <v>279</v>
      </c>
      <c r="G1090" s="37" t="s">
        <v>90</v>
      </c>
      <c r="H1090" s="183">
        <f>H1091+H1097</f>
        <v>3833.13</v>
      </c>
      <c r="I1090" s="183">
        <f t="shared" si="443"/>
        <v>2462.5</v>
      </c>
      <c r="J1090" s="183">
        <f t="shared" si="443"/>
        <v>2462.5</v>
      </c>
      <c r="K1090" s="183">
        <v>3833.13</v>
      </c>
      <c r="L1090" s="183">
        <v>2462.5</v>
      </c>
      <c r="M1090" s="183">
        <v>2462.5</v>
      </c>
      <c r="N1090" s="183"/>
      <c r="O1090" s="183">
        <v>3833.13</v>
      </c>
      <c r="P1090" s="183">
        <v>2462.5</v>
      </c>
      <c r="Q1090" s="183">
        <v>2462.5</v>
      </c>
      <c r="R1090" s="472">
        <f t="shared" si="440"/>
        <v>0</v>
      </c>
      <c r="S1090" s="472">
        <f t="shared" si="441"/>
        <v>0</v>
      </c>
      <c r="T1090" s="472">
        <f t="shared" si="442"/>
        <v>0</v>
      </c>
      <c r="U1090" s="182" t="s">
        <v>656</v>
      </c>
      <c r="V1090" s="37" t="s">
        <v>17</v>
      </c>
      <c r="W1090" s="37" t="s">
        <v>82</v>
      </c>
      <c r="X1090" s="37" t="s">
        <v>98</v>
      </c>
      <c r="Y1090" s="37" t="s">
        <v>279</v>
      </c>
      <c r="Z1090" s="37" t="s">
        <v>90</v>
      </c>
      <c r="AA1090" s="12" t="b">
        <f t="shared" si="429"/>
        <v>1</v>
      </c>
      <c r="AB1090" s="12" t="b">
        <f t="shared" si="430"/>
        <v>1</v>
      </c>
      <c r="AC1090" s="12" t="b">
        <f t="shared" si="431"/>
        <v>1</v>
      </c>
      <c r="AD1090" s="12" t="b">
        <f t="shared" si="432"/>
        <v>1</v>
      </c>
      <c r="AE1090" s="12" t="b">
        <f t="shared" si="433"/>
        <v>1</v>
      </c>
      <c r="AF1090" s="12" t="b">
        <f t="shared" si="434"/>
        <v>1</v>
      </c>
    </row>
    <row r="1091" spans="1:32" s="12" customFormat="1" ht="15.75" customHeight="1">
      <c r="A1091" s="285"/>
      <c r="B1091" s="54" t="s">
        <v>491</v>
      </c>
      <c r="C1091" s="57" t="s">
        <v>17</v>
      </c>
      <c r="D1091" s="57" t="s">
        <v>82</v>
      </c>
      <c r="E1091" s="57" t="s">
        <v>98</v>
      </c>
      <c r="F1091" s="57" t="s">
        <v>280</v>
      </c>
      <c r="G1091" s="57" t="s">
        <v>90</v>
      </c>
      <c r="H1091" s="58">
        <f t="shared" si="443"/>
        <v>2462.5</v>
      </c>
      <c r="I1091" s="58">
        <f t="shared" si="443"/>
        <v>2462.5</v>
      </c>
      <c r="J1091" s="58">
        <f t="shared" si="443"/>
        <v>2462.5</v>
      </c>
      <c r="K1091" s="58">
        <v>2462.5</v>
      </c>
      <c r="L1091" s="58">
        <v>2462.5</v>
      </c>
      <c r="M1091" s="58">
        <v>2462.5</v>
      </c>
      <c r="N1091" s="58"/>
      <c r="O1091" s="58">
        <v>2462.5</v>
      </c>
      <c r="P1091" s="58">
        <v>2462.5</v>
      </c>
      <c r="Q1091" s="58">
        <v>2462.5</v>
      </c>
      <c r="R1091" s="472">
        <f t="shared" si="440"/>
        <v>0</v>
      </c>
      <c r="S1091" s="472">
        <f t="shared" si="441"/>
        <v>0</v>
      </c>
      <c r="T1091" s="472">
        <f t="shared" si="442"/>
        <v>0</v>
      </c>
      <c r="U1091" s="54" t="s">
        <v>491</v>
      </c>
      <c r="V1091" s="57" t="s">
        <v>17</v>
      </c>
      <c r="W1091" s="57" t="s">
        <v>82</v>
      </c>
      <c r="X1091" s="57" t="s">
        <v>98</v>
      </c>
      <c r="Y1091" s="57" t="s">
        <v>280</v>
      </c>
      <c r="Z1091" s="57" t="s">
        <v>90</v>
      </c>
      <c r="AA1091" s="12" t="b">
        <f t="shared" si="429"/>
        <v>1</v>
      </c>
      <c r="AB1091" s="12" t="b">
        <f t="shared" si="430"/>
        <v>1</v>
      </c>
      <c r="AC1091" s="12" t="b">
        <f t="shared" si="431"/>
        <v>1</v>
      </c>
      <c r="AD1091" s="12" t="b">
        <f t="shared" si="432"/>
        <v>1</v>
      </c>
      <c r="AE1091" s="12" t="b">
        <f t="shared" si="433"/>
        <v>1</v>
      </c>
      <c r="AF1091" s="12" t="b">
        <f t="shared" si="434"/>
        <v>1</v>
      </c>
    </row>
    <row r="1092" spans="1:32" s="12" customFormat="1" ht="15.75" customHeight="1">
      <c r="A1092" s="285"/>
      <c r="B1092" s="82" t="s">
        <v>523</v>
      </c>
      <c r="C1092" s="57" t="s">
        <v>17</v>
      </c>
      <c r="D1092" s="57" t="s">
        <v>82</v>
      </c>
      <c r="E1092" s="57" t="s">
        <v>98</v>
      </c>
      <c r="F1092" s="57" t="s">
        <v>281</v>
      </c>
      <c r="G1092" s="57" t="s">
        <v>90</v>
      </c>
      <c r="H1092" s="58">
        <f>H1093+H1095</f>
        <v>2462.5</v>
      </c>
      <c r="I1092" s="58">
        <f>I1093+I1095</f>
        <v>2462.5</v>
      </c>
      <c r="J1092" s="58">
        <f>J1093+J1095</f>
        <v>2462.5</v>
      </c>
      <c r="K1092" s="58">
        <v>2462.5</v>
      </c>
      <c r="L1092" s="58">
        <v>2462.5</v>
      </c>
      <c r="M1092" s="58">
        <v>2462.5</v>
      </c>
      <c r="N1092" s="58"/>
      <c r="O1092" s="58">
        <v>2462.5</v>
      </c>
      <c r="P1092" s="58">
        <v>2462.5</v>
      </c>
      <c r="Q1092" s="58">
        <v>2462.5</v>
      </c>
      <c r="R1092" s="472">
        <f t="shared" si="440"/>
        <v>0</v>
      </c>
      <c r="S1092" s="472">
        <f t="shared" si="441"/>
        <v>0</v>
      </c>
      <c r="T1092" s="472">
        <f t="shared" si="442"/>
        <v>0</v>
      </c>
      <c r="U1092" s="82" t="s">
        <v>523</v>
      </c>
      <c r="V1092" s="57" t="s">
        <v>17</v>
      </c>
      <c r="W1092" s="57" t="s">
        <v>82</v>
      </c>
      <c r="X1092" s="57" t="s">
        <v>98</v>
      </c>
      <c r="Y1092" s="57" t="s">
        <v>281</v>
      </c>
      <c r="Z1092" s="57" t="s">
        <v>90</v>
      </c>
      <c r="AA1092" s="12" t="b">
        <f t="shared" si="429"/>
        <v>1</v>
      </c>
      <c r="AB1092" s="12" t="b">
        <f t="shared" si="430"/>
        <v>1</v>
      </c>
      <c r="AC1092" s="12" t="b">
        <f t="shared" si="431"/>
        <v>1</v>
      </c>
      <c r="AD1092" s="12" t="b">
        <f t="shared" si="432"/>
        <v>1</v>
      </c>
      <c r="AE1092" s="12" t="b">
        <f t="shared" si="433"/>
        <v>1</v>
      </c>
      <c r="AF1092" s="12" t="b">
        <f t="shared" si="434"/>
        <v>1</v>
      </c>
    </row>
    <row r="1093" spans="1:32" s="12" customFormat="1" ht="15.75" customHeight="1">
      <c r="A1093" s="285"/>
      <c r="B1093" s="54" t="s">
        <v>189</v>
      </c>
      <c r="C1093" s="57" t="s">
        <v>17</v>
      </c>
      <c r="D1093" s="57" t="s">
        <v>82</v>
      </c>
      <c r="E1093" s="57" t="s">
        <v>98</v>
      </c>
      <c r="F1093" s="57" t="s">
        <v>307</v>
      </c>
      <c r="G1093" s="57" t="s">
        <v>90</v>
      </c>
      <c r="H1093" s="58">
        <f>H1094</f>
        <v>911.5</v>
      </c>
      <c r="I1093" s="58">
        <f>I1094</f>
        <v>911.5</v>
      </c>
      <c r="J1093" s="58">
        <f>J1094</f>
        <v>911.5</v>
      </c>
      <c r="K1093" s="58">
        <v>911.5</v>
      </c>
      <c r="L1093" s="58">
        <v>911.5</v>
      </c>
      <c r="M1093" s="58">
        <v>911.5</v>
      </c>
      <c r="N1093" s="58"/>
      <c r="O1093" s="58">
        <v>911.5</v>
      </c>
      <c r="P1093" s="58">
        <v>911.5</v>
      </c>
      <c r="Q1093" s="58">
        <v>911.5</v>
      </c>
      <c r="R1093" s="472">
        <f t="shared" si="440"/>
        <v>0</v>
      </c>
      <c r="S1093" s="472">
        <f t="shared" si="441"/>
        <v>0</v>
      </c>
      <c r="T1093" s="472">
        <f t="shared" si="442"/>
        <v>0</v>
      </c>
      <c r="U1093" s="54" t="s">
        <v>189</v>
      </c>
      <c r="V1093" s="57" t="s">
        <v>17</v>
      </c>
      <c r="W1093" s="57" t="s">
        <v>82</v>
      </c>
      <c r="X1093" s="57" t="s">
        <v>98</v>
      </c>
      <c r="Y1093" s="57" t="s">
        <v>307</v>
      </c>
      <c r="Z1093" s="57" t="s">
        <v>90</v>
      </c>
      <c r="AA1093" s="12" t="b">
        <f t="shared" si="429"/>
        <v>1</v>
      </c>
      <c r="AB1093" s="12" t="b">
        <f t="shared" si="430"/>
        <v>1</v>
      </c>
      <c r="AC1093" s="12" t="b">
        <f t="shared" si="431"/>
        <v>1</v>
      </c>
      <c r="AD1093" s="12" t="b">
        <f t="shared" si="432"/>
        <v>1</v>
      </c>
      <c r="AE1093" s="12" t="b">
        <f t="shared" si="433"/>
        <v>1</v>
      </c>
      <c r="AF1093" s="12" t="b">
        <f t="shared" si="434"/>
        <v>1</v>
      </c>
    </row>
    <row r="1094" spans="1:32" s="12" customFormat="1" ht="15.75" customHeight="1">
      <c r="A1094" s="285"/>
      <c r="B1094" s="182" t="s">
        <v>145</v>
      </c>
      <c r="C1094" s="37" t="s">
        <v>17</v>
      </c>
      <c r="D1094" s="37" t="s">
        <v>82</v>
      </c>
      <c r="E1094" s="37" t="s">
        <v>98</v>
      </c>
      <c r="F1094" s="37" t="s">
        <v>307</v>
      </c>
      <c r="G1094" s="37" t="s">
        <v>153</v>
      </c>
      <c r="H1094" s="183">
        <v>911.5</v>
      </c>
      <c r="I1094" s="183">
        <v>911.5</v>
      </c>
      <c r="J1094" s="183">
        <v>911.5</v>
      </c>
      <c r="K1094" s="183">
        <v>911.5</v>
      </c>
      <c r="L1094" s="183">
        <v>911.5</v>
      </c>
      <c r="M1094" s="183">
        <v>911.5</v>
      </c>
      <c r="N1094" s="183"/>
      <c r="O1094" s="183">
        <v>911.5</v>
      </c>
      <c r="P1094" s="183">
        <v>911.5</v>
      </c>
      <c r="Q1094" s="183">
        <v>911.5</v>
      </c>
      <c r="R1094" s="472">
        <f t="shared" si="440"/>
        <v>0</v>
      </c>
      <c r="S1094" s="472">
        <f t="shared" si="441"/>
        <v>0</v>
      </c>
      <c r="T1094" s="472">
        <f t="shared" si="442"/>
        <v>0</v>
      </c>
      <c r="U1094" s="182" t="s">
        <v>145</v>
      </c>
      <c r="V1094" s="37" t="s">
        <v>17</v>
      </c>
      <c r="W1094" s="37" t="s">
        <v>82</v>
      </c>
      <c r="X1094" s="37" t="s">
        <v>98</v>
      </c>
      <c r="Y1094" s="37" t="s">
        <v>307</v>
      </c>
      <c r="Z1094" s="37" t="s">
        <v>153</v>
      </c>
      <c r="AA1094" s="12" t="b">
        <f t="shared" si="429"/>
        <v>1</v>
      </c>
      <c r="AB1094" s="12" t="b">
        <f t="shared" si="430"/>
        <v>1</v>
      </c>
      <c r="AC1094" s="12" t="b">
        <f t="shared" si="431"/>
        <v>1</v>
      </c>
      <c r="AD1094" s="12" t="b">
        <f t="shared" si="432"/>
        <v>1</v>
      </c>
      <c r="AE1094" s="12" t="b">
        <f t="shared" si="433"/>
        <v>1</v>
      </c>
      <c r="AF1094" s="12" t="b">
        <f t="shared" si="434"/>
        <v>1</v>
      </c>
    </row>
    <row r="1095" spans="1:32" s="12" customFormat="1" ht="15.75" customHeight="1">
      <c r="A1095" s="285"/>
      <c r="B1095" s="22" t="s">
        <v>757</v>
      </c>
      <c r="C1095" s="57" t="s">
        <v>17</v>
      </c>
      <c r="D1095" s="57" t="s">
        <v>82</v>
      </c>
      <c r="E1095" s="57" t="s">
        <v>98</v>
      </c>
      <c r="F1095" s="57" t="s">
        <v>439</v>
      </c>
      <c r="G1095" s="57" t="s">
        <v>90</v>
      </c>
      <c r="H1095" s="121">
        <f>H1096</f>
        <v>1551</v>
      </c>
      <c r="I1095" s="121">
        <f>I1096</f>
        <v>1551</v>
      </c>
      <c r="J1095" s="121">
        <f>J1096</f>
        <v>1551</v>
      </c>
      <c r="K1095" s="121">
        <v>1551</v>
      </c>
      <c r="L1095" s="121">
        <v>1551</v>
      </c>
      <c r="M1095" s="121">
        <v>1551</v>
      </c>
      <c r="N1095" s="121"/>
      <c r="O1095" s="121">
        <v>1551</v>
      </c>
      <c r="P1095" s="121">
        <v>1551</v>
      </c>
      <c r="Q1095" s="121">
        <v>1551</v>
      </c>
      <c r="R1095" s="472">
        <f t="shared" si="440"/>
        <v>0</v>
      </c>
      <c r="S1095" s="472">
        <f t="shared" si="441"/>
        <v>0</v>
      </c>
      <c r="T1095" s="472">
        <f t="shared" si="442"/>
        <v>0</v>
      </c>
      <c r="U1095" s="22" t="s">
        <v>757</v>
      </c>
      <c r="V1095" s="57" t="s">
        <v>17</v>
      </c>
      <c r="W1095" s="57" t="s">
        <v>82</v>
      </c>
      <c r="X1095" s="57" t="s">
        <v>98</v>
      </c>
      <c r="Y1095" s="57" t="s">
        <v>439</v>
      </c>
      <c r="Z1095" s="57" t="s">
        <v>90</v>
      </c>
      <c r="AA1095" s="12" t="b">
        <f t="shared" si="429"/>
        <v>1</v>
      </c>
      <c r="AB1095" s="12" t="b">
        <f t="shared" si="430"/>
        <v>1</v>
      </c>
      <c r="AC1095" s="12" t="b">
        <f t="shared" si="431"/>
        <v>1</v>
      </c>
      <c r="AD1095" s="12" t="b">
        <f t="shared" si="432"/>
        <v>1</v>
      </c>
      <c r="AE1095" s="12" t="b">
        <f t="shared" si="433"/>
        <v>1</v>
      </c>
      <c r="AF1095" s="12" t="b">
        <f t="shared" si="434"/>
        <v>1</v>
      </c>
    </row>
    <row r="1096" spans="1:32" s="12" customFormat="1" ht="15.75" customHeight="1">
      <c r="A1096" s="285"/>
      <c r="B1096" s="182" t="s">
        <v>145</v>
      </c>
      <c r="C1096" s="37" t="s">
        <v>17</v>
      </c>
      <c r="D1096" s="37" t="s">
        <v>82</v>
      </c>
      <c r="E1096" s="37" t="s">
        <v>98</v>
      </c>
      <c r="F1096" s="37" t="s">
        <v>439</v>
      </c>
      <c r="G1096" s="37" t="s">
        <v>153</v>
      </c>
      <c r="H1096" s="183">
        <v>1551</v>
      </c>
      <c r="I1096" s="183">
        <v>1551</v>
      </c>
      <c r="J1096" s="183">
        <v>1551</v>
      </c>
      <c r="K1096" s="183">
        <v>1551</v>
      </c>
      <c r="L1096" s="183">
        <v>1551</v>
      </c>
      <c r="M1096" s="183">
        <v>1551</v>
      </c>
      <c r="N1096" s="183"/>
      <c r="O1096" s="183">
        <v>1551</v>
      </c>
      <c r="P1096" s="183">
        <v>1551</v>
      </c>
      <c r="Q1096" s="183">
        <v>1551</v>
      </c>
      <c r="R1096" s="472">
        <f t="shared" si="440"/>
        <v>0</v>
      </c>
      <c r="S1096" s="472">
        <f t="shared" si="441"/>
        <v>0</v>
      </c>
      <c r="T1096" s="472">
        <f t="shared" si="442"/>
        <v>0</v>
      </c>
      <c r="U1096" s="182" t="s">
        <v>145</v>
      </c>
      <c r="V1096" s="37" t="s">
        <v>17</v>
      </c>
      <c r="W1096" s="37" t="s">
        <v>82</v>
      </c>
      <c r="X1096" s="37" t="s">
        <v>98</v>
      </c>
      <c r="Y1096" s="37" t="s">
        <v>439</v>
      </c>
      <c r="Z1096" s="37" t="s">
        <v>153</v>
      </c>
      <c r="AA1096" s="12" t="b">
        <f t="shared" si="429"/>
        <v>1</v>
      </c>
      <c r="AB1096" s="12" t="b">
        <f t="shared" si="430"/>
        <v>1</v>
      </c>
      <c r="AC1096" s="12" t="b">
        <f t="shared" si="431"/>
        <v>1</v>
      </c>
      <c r="AD1096" s="12" t="b">
        <f t="shared" si="432"/>
        <v>1</v>
      </c>
      <c r="AE1096" s="12" t="b">
        <f t="shared" si="433"/>
        <v>1</v>
      </c>
      <c r="AF1096" s="12" t="b">
        <f t="shared" si="434"/>
        <v>1</v>
      </c>
    </row>
    <row r="1097" spans="1:32" s="12" customFormat="1" ht="15.75" customHeight="1">
      <c r="A1097" s="285"/>
      <c r="B1097" s="182" t="s">
        <v>172</v>
      </c>
      <c r="C1097" s="37" t="s">
        <v>17</v>
      </c>
      <c r="D1097" s="37" t="s">
        <v>82</v>
      </c>
      <c r="E1097" s="37" t="s">
        <v>98</v>
      </c>
      <c r="F1097" s="37" t="s">
        <v>347</v>
      </c>
      <c r="G1097" s="37" t="s">
        <v>90</v>
      </c>
      <c r="H1097" s="183">
        <f t="shared" ref="H1097:J1099" si="444">H1098</f>
        <v>1370.63</v>
      </c>
      <c r="I1097" s="183">
        <f t="shared" si="444"/>
        <v>0</v>
      </c>
      <c r="J1097" s="183">
        <f t="shared" si="444"/>
        <v>0</v>
      </c>
      <c r="K1097" s="183">
        <v>1370.63</v>
      </c>
      <c r="L1097" s="183">
        <v>0</v>
      </c>
      <c r="M1097" s="183">
        <v>0</v>
      </c>
      <c r="N1097" s="183"/>
      <c r="O1097" s="183">
        <v>1370.63</v>
      </c>
      <c r="P1097" s="183">
        <v>0</v>
      </c>
      <c r="Q1097" s="183">
        <v>0</v>
      </c>
      <c r="R1097" s="472">
        <f t="shared" si="440"/>
        <v>0</v>
      </c>
      <c r="S1097" s="472">
        <f t="shared" si="441"/>
        <v>0</v>
      </c>
      <c r="T1097" s="472">
        <f t="shared" si="442"/>
        <v>0</v>
      </c>
      <c r="U1097" s="182" t="s">
        <v>172</v>
      </c>
      <c r="V1097" s="37" t="s">
        <v>17</v>
      </c>
      <c r="W1097" s="37" t="s">
        <v>82</v>
      </c>
      <c r="X1097" s="37" t="s">
        <v>98</v>
      </c>
      <c r="Y1097" s="37" t="s">
        <v>347</v>
      </c>
      <c r="Z1097" s="37" t="s">
        <v>90</v>
      </c>
      <c r="AA1097" s="12" t="b">
        <f t="shared" si="429"/>
        <v>1</v>
      </c>
      <c r="AB1097" s="12" t="b">
        <f t="shared" si="430"/>
        <v>1</v>
      </c>
      <c r="AC1097" s="12" t="b">
        <f t="shared" si="431"/>
        <v>1</v>
      </c>
      <c r="AD1097" s="12" t="b">
        <f t="shared" si="432"/>
        <v>1</v>
      </c>
      <c r="AE1097" s="12" t="b">
        <f t="shared" si="433"/>
        <v>1</v>
      </c>
      <c r="AF1097" s="12" t="b">
        <f t="shared" si="434"/>
        <v>1</v>
      </c>
    </row>
    <row r="1098" spans="1:32" s="12" customFormat="1" ht="15.75" customHeight="1">
      <c r="A1098" s="285"/>
      <c r="B1098" s="182" t="s">
        <v>535</v>
      </c>
      <c r="C1098" s="37" t="s">
        <v>17</v>
      </c>
      <c r="D1098" s="37" t="s">
        <v>82</v>
      </c>
      <c r="E1098" s="37" t="s">
        <v>98</v>
      </c>
      <c r="F1098" s="37" t="s">
        <v>537</v>
      </c>
      <c r="G1098" s="37" t="s">
        <v>90</v>
      </c>
      <c r="H1098" s="183">
        <f t="shared" si="444"/>
        <v>1370.63</v>
      </c>
      <c r="I1098" s="183">
        <f t="shared" si="444"/>
        <v>0</v>
      </c>
      <c r="J1098" s="183">
        <f t="shared" si="444"/>
        <v>0</v>
      </c>
      <c r="K1098" s="183">
        <v>1370.63</v>
      </c>
      <c r="L1098" s="183">
        <v>0</v>
      </c>
      <c r="M1098" s="183">
        <v>0</v>
      </c>
      <c r="N1098" s="183"/>
      <c r="O1098" s="183">
        <v>1370.63</v>
      </c>
      <c r="P1098" s="183">
        <v>0</v>
      </c>
      <c r="Q1098" s="183">
        <v>0</v>
      </c>
      <c r="R1098" s="472">
        <f t="shared" si="440"/>
        <v>0</v>
      </c>
      <c r="S1098" s="472">
        <f t="shared" si="441"/>
        <v>0</v>
      </c>
      <c r="T1098" s="472">
        <f t="shared" si="442"/>
        <v>0</v>
      </c>
      <c r="U1098" s="182" t="s">
        <v>535</v>
      </c>
      <c r="V1098" s="37" t="s">
        <v>17</v>
      </c>
      <c r="W1098" s="37" t="s">
        <v>82</v>
      </c>
      <c r="X1098" s="37" t="s">
        <v>98</v>
      </c>
      <c r="Y1098" s="37" t="s">
        <v>537</v>
      </c>
      <c r="Z1098" s="37" t="s">
        <v>90</v>
      </c>
      <c r="AA1098" s="12" t="b">
        <f t="shared" si="429"/>
        <v>1</v>
      </c>
      <c r="AB1098" s="12" t="b">
        <f t="shared" si="430"/>
        <v>1</v>
      </c>
      <c r="AC1098" s="12" t="b">
        <f t="shared" si="431"/>
        <v>1</v>
      </c>
      <c r="AD1098" s="12" t="b">
        <f t="shared" si="432"/>
        <v>1</v>
      </c>
      <c r="AE1098" s="12" t="b">
        <f t="shared" si="433"/>
        <v>1</v>
      </c>
      <c r="AF1098" s="12" t="b">
        <f t="shared" si="434"/>
        <v>1</v>
      </c>
    </row>
    <row r="1099" spans="1:32" s="12" customFormat="1" ht="15.75" customHeight="1">
      <c r="A1099" s="285"/>
      <c r="B1099" s="182" t="s">
        <v>999</v>
      </c>
      <c r="C1099" s="37" t="s">
        <v>17</v>
      </c>
      <c r="D1099" s="37" t="s">
        <v>82</v>
      </c>
      <c r="E1099" s="37" t="s">
        <v>98</v>
      </c>
      <c r="F1099" s="37" t="s">
        <v>1006</v>
      </c>
      <c r="G1099" s="36" t="s">
        <v>90</v>
      </c>
      <c r="H1099" s="69">
        <f t="shared" si="444"/>
        <v>1370.63</v>
      </c>
      <c r="I1099" s="69">
        <f t="shared" si="444"/>
        <v>0</v>
      </c>
      <c r="J1099" s="69">
        <f t="shared" si="444"/>
        <v>0</v>
      </c>
      <c r="K1099" s="69">
        <v>1370.63</v>
      </c>
      <c r="L1099" s="69">
        <v>0</v>
      </c>
      <c r="M1099" s="69">
        <v>0</v>
      </c>
      <c r="N1099" s="69"/>
      <c r="O1099" s="69">
        <v>1370.63</v>
      </c>
      <c r="P1099" s="69">
        <v>0</v>
      </c>
      <c r="Q1099" s="69">
        <v>0</v>
      </c>
      <c r="R1099" s="472">
        <f t="shared" si="440"/>
        <v>0</v>
      </c>
      <c r="S1099" s="472">
        <f t="shared" si="441"/>
        <v>0</v>
      </c>
      <c r="T1099" s="472">
        <f t="shared" si="442"/>
        <v>0</v>
      </c>
      <c r="U1099" s="182" t="s">
        <v>999</v>
      </c>
      <c r="V1099" s="37" t="s">
        <v>17</v>
      </c>
      <c r="W1099" s="37" t="s">
        <v>82</v>
      </c>
      <c r="X1099" s="37" t="s">
        <v>98</v>
      </c>
      <c r="Y1099" s="37" t="s">
        <v>1006</v>
      </c>
      <c r="Z1099" s="36" t="s">
        <v>90</v>
      </c>
      <c r="AA1099" s="12" t="b">
        <f t="shared" si="429"/>
        <v>1</v>
      </c>
      <c r="AB1099" s="12" t="b">
        <f t="shared" si="430"/>
        <v>1</v>
      </c>
      <c r="AC1099" s="12" t="b">
        <f t="shared" si="431"/>
        <v>1</v>
      </c>
      <c r="AD1099" s="12" t="b">
        <f t="shared" si="432"/>
        <v>1</v>
      </c>
      <c r="AE1099" s="12" t="b">
        <f t="shared" si="433"/>
        <v>1</v>
      </c>
      <c r="AF1099" s="12" t="b">
        <f t="shared" si="434"/>
        <v>1</v>
      </c>
    </row>
    <row r="1100" spans="1:32" s="12" customFormat="1" ht="15.75" customHeight="1">
      <c r="A1100" s="285"/>
      <c r="B1100" s="182" t="s">
        <v>145</v>
      </c>
      <c r="C1100" s="37" t="s">
        <v>17</v>
      </c>
      <c r="D1100" s="37" t="s">
        <v>82</v>
      </c>
      <c r="E1100" s="37" t="s">
        <v>98</v>
      </c>
      <c r="F1100" s="37" t="s">
        <v>1006</v>
      </c>
      <c r="G1100" s="36" t="s">
        <v>153</v>
      </c>
      <c r="H1100" s="183">
        <v>1370.63</v>
      </c>
      <c r="I1100" s="183">
        <v>0</v>
      </c>
      <c r="J1100" s="183">
        <v>0</v>
      </c>
      <c r="K1100" s="183">
        <v>1370.63</v>
      </c>
      <c r="L1100" s="183">
        <v>0</v>
      </c>
      <c r="M1100" s="183">
        <v>0</v>
      </c>
      <c r="N1100" s="183"/>
      <c r="O1100" s="183">
        <v>1370.63</v>
      </c>
      <c r="P1100" s="183">
        <v>0</v>
      </c>
      <c r="Q1100" s="183">
        <v>0</v>
      </c>
      <c r="R1100" s="472">
        <f t="shared" si="440"/>
        <v>0</v>
      </c>
      <c r="S1100" s="472">
        <f t="shared" si="441"/>
        <v>0</v>
      </c>
      <c r="T1100" s="472">
        <f t="shared" si="442"/>
        <v>0</v>
      </c>
      <c r="U1100" s="182" t="s">
        <v>145</v>
      </c>
      <c r="V1100" s="37" t="s">
        <v>17</v>
      </c>
      <c r="W1100" s="37" t="s">
        <v>82</v>
      </c>
      <c r="X1100" s="37" t="s">
        <v>98</v>
      </c>
      <c r="Y1100" s="37" t="s">
        <v>1006</v>
      </c>
      <c r="Z1100" s="36" t="s">
        <v>153</v>
      </c>
      <c r="AA1100" s="12" t="b">
        <f t="shared" si="429"/>
        <v>1</v>
      </c>
      <c r="AB1100" s="12" t="b">
        <f t="shared" si="430"/>
        <v>1</v>
      </c>
      <c r="AC1100" s="12" t="b">
        <f t="shared" si="431"/>
        <v>1</v>
      </c>
      <c r="AD1100" s="12" t="b">
        <f t="shared" si="432"/>
        <v>1</v>
      </c>
      <c r="AE1100" s="12" t="b">
        <f t="shared" si="433"/>
        <v>1</v>
      </c>
      <c r="AF1100" s="12" t="b">
        <f t="shared" si="434"/>
        <v>1</v>
      </c>
    </row>
    <row r="1101" spans="1:32" s="12" customFormat="1" ht="15.75" customHeight="1">
      <c r="A1101" s="285"/>
      <c r="B1101" s="182"/>
      <c r="C1101" s="37"/>
      <c r="D1101" s="37"/>
      <c r="E1101" s="37"/>
      <c r="F1101" s="37"/>
      <c r="G1101" s="37"/>
      <c r="H1101" s="183"/>
      <c r="I1101" s="183"/>
      <c r="J1101" s="183"/>
      <c r="K1101" s="183"/>
      <c r="L1101" s="183"/>
      <c r="M1101" s="183"/>
      <c r="N1101" s="183"/>
      <c r="O1101" s="183"/>
      <c r="P1101" s="183"/>
      <c r="Q1101" s="183"/>
      <c r="R1101" s="472">
        <f t="shared" si="440"/>
        <v>0</v>
      </c>
      <c r="S1101" s="472">
        <f t="shared" si="441"/>
        <v>0</v>
      </c>
      <c r="T1101" s="472">
        <f t="shared" si="442"/>
        <v>0</v>
      </c>
      <c r="U1101" s="182"/>
      <c r="V1101" s="37"/>
      <c r="W1101" s="37"/>
      <c r="X1101" s="37"/>
      <c r="Y1101" s="37"/>
      <c r="Z1101" s="37"/>
      <c r="AA1101" s="12" t="b">
        <f t="shared" si="429"/>
        <v>1</v>
      </c>
      <c r="AB1101" s="12" t="b">
        <f t="shared" si="430"/>
        <v>1</v>
      </c>
      <c r="AC1101" s="12" t="b">
        <f t="shared" si="431"/>
        <v>1</v>
      </c>
      <c r="AD1101" s="12" t="b">
        <f t="shared" si="432"/>
        <v>1</v>
      </c>
      <c r="AE1101" s="12" t="b">
        <f t="shared" si="433"/>
        <v>1</v>
      </c>
      <c r="AF1101" s="12" t="b">
        <f t="shared" si="434"/>
        <v>1</v>
      </c>
    </row>
    <row r="1102" spans="1:32" s="12" customFormat="1" ht="15.75" customHeight="1">
      <c r="A1102" s="285"/>
      <c r="B1102" s="42" t="s">
        <v>18</v>
      </c>
      <c r="C1102" s="25" t="s">
        <v>19</v>
      </c>
      <c r="D1102" s="26" t="s">
        <v>83</v>
      </c>
      <c r="E1102" s="26" t="s">
        <v>83</v>
      </c>
      <c r="F1102" s="26" t="s">
        <v>223</v>
      </c>
      <c r="G1102" s="26" t="s">
        <v>90</v>
      </c>
      <c r="H1102" s="110">
        <f>H1103+H1120+H1172+H1234+H1227</f>
        <v>1778702.48</v>
      </c>
      <c r="I1102" s="110">
        <f>I1103+I1120+I1172+I1234+I1227</f>
        <v>537542.43000000005</v>
      </c>
      <c r="J1102" s="110">
        <f>J1103+J1120+J1172+J1234+J1227</f>
        <v>533794.30000000005</v>
      </c>
      <c r="K1102" s="110">
        <v>1645939.02</v>
      </c>
      <c r="L1102" s="110">
        <v>537542.43000000005</v>
      </c>
      <c r="M1102" s="110">
        <v>533794.30000000005</v>
      </c>
      <c r="N1102" s="110"/>
      <c r="O1102" s="110">
        <v>1339467.6399999999</v>
      </c>
      <c r="P1102" s="110">
        <v>537406.74000000011</v>
      </c>
      <c r="Q1102" s="110">
        <v>533658.61</v>
      </c>
      <c r="R1102" s="472">
        <f t="shared" si="440"/>
        <v>439234.84000000008</v>
      </c>
      <c r="S1102" s="472">
        <f t="shared" si="441"/>
        <v>135.68999999994412</v>
      </c>
      <c r="T1102" s="472">
        <f t="shared" si="442"/>
        <v>135.69000000006054</v>
      </c>
      <c r="U1102" s="42" t="s">
        <v>18</v>
      </c>
      <c r="V1102" s="25" t="s">
        <v>19</v>
      </c>
      <c r="W1102" s="26" t="s">
        <v>83</v>
      </c>
      <c r="X1102" s="26" t="s">
        <v>83</v>
      </c>
      <c r="Y1102" s="26" t="s">
        <v>223</v>
      </c>
      <c r="Z1102" s="26" t="s">
        <v>90</v>
      </c>
      <c r="AA1102" s="12" t="b">
        <f t="shared" si="429"/>
        <v>1</v>
      </c>
      <c r="AB1102" s="12" t="b">
        <f t="shared" si="430"/>
        <v>1</v>
      </c>
      <c r="AC1102" s="12" t="b">
        <f t="shared" si="431"/>
        <v>1</v>
      </c>
      <c r="AD1102" s="12" t="b">
        <f t="shared" si="432"/>
        <v>1</v>
      </c>
      <c r="AE1102" s="12" t="b">
        <f t="shared" si="433"/>
        <v>1</v>
      </c>
      <c r="AF1102" s="12" t="b">
        <f t="shared" si="434"/>
        <v>1</v>
      </c>
    </row>
    <row r="1103" spans="1:32" s="12" customFormat="1" ht="15.75" customHeight="1">
      <c r="A1103" s="285"/>
      <c r="B1103" s="28" t="s">
        <v>97</v>
      </c>
      <c r="C1103" s="29" t="s">
        <v>19</v>
      </c>
      <c r="D1103" s="30" t="s">
        <v>98</v>
      </c>
      <c r="E1103" s="30" t="s">
        <v>83</v>
      </c>
      <c r="F1103" s="30" t="s">
        <v>223</v>
      </c>
      <c r="G1103" s="30" t="s">
        <v>90</v>
      </c>
      <c r="H1103" s="31">
        <f>H1104</f>
        <v>21602.62</v>
      </c>
      <c r="I1103" s="31">
        <f>I1104</f>
        <v>830.95</v>
      </c>
      <c r="J1103" s="31">
        <f>J1104</f>
        <v>830.95</v>
      </c>
      <c r="K1103" s="31">
        <v>21602.62</v>
      </c>
      <c r="L1103" s="31">
        <v>830.95</v>
      </c>
      <c r="M1103" s="31">
        <v>830.95</v>
      </c>
      <c r="N1103" s="31"/>
      <c r="O1103" s="31">
        <v>830.95</v>
      </c>
      <c r="P1103" s="31">
        <v>830.95</v>
      </c>
      <c r="Q1103" s="31">
        <v>830.95</v>
      </c>
      <c r="R1103" s="472">
        <f t="shared" si="440"/>
        <v>20771.669999999998</v>
      </c>
      <c r="S1103" s="472">
        <f t="shared" si="441"/>
        <v>0</v>
      </c>
      <c r="T1103" s="472">
        <f t="shared" si="442"/>
        <v>0</v>
      </c>
      <c r="U1103" s="28" t="s">
        <v>97</v>
      </c>
      <c r="V1103" s="29" t="s">
        <v>19</v>
      </c>
      <c r="W1103" s="30" t="s">
        <v>98</v>
      </c>
      <c r="X1103" s="30" t="s">
        <v>83</v>
      </c>
      <c r="Y1103" s="30" t="s">
        <v>223</v>
      </c>
      <c r="Z1103" s="30" t="s">
        <v>90</v>
      </c>
      <c r="AA1103" s="12" t="b">
        <f t="shared" si="429"/>
        <v>1</v>
      </c>
      <c r="AB1103" s="12" t="b">
        <f t="shared" si="430"/>
        <v>1</v>
      </c>
      <c r="AC1103" s="12" t="b">
        <f t="shared" si="431"/>
        <v>1</v>
      </c>
      <c r="AD1103" s="12" t="b">
        <f t="shared" si="432"/>
        <v>1</v>
      </c>
      <c r="AE1103" s="12" t="b">
        <f t="shared" si="433"/>
        <v>1</v>
      </c>
      <c r="AF1103" s="12" t="b">
        <f t="shared" si="434"/>
        <v>1</v>
      </c>
    </row>
    <row r="1104" spans="1:32" s="12" customFormat="1" ht="15.75" customHeight="1">
      <c r="A1104" s="285"/>
      <c r="B1104" s="32" t="s">
        <v>70</v>
      </c>
      <c r="C1104" s="33" t="s">
        <v>19</v>
      </c>
      <c r="D1104" s="34" t="s">
        <v>98</v>
      </c>
      <c r="E1104" s="34" t="s">
        <v>124</v>
      </c>
      <c r="F1104" s="34" t="s">
        <v>223</v>
      </c>
      <c r="G1104" s="34" t="s">
        <v>90</v>
      </c>
      <c r="H1104" s="35">
        <f>H1105+H1112+H1116</f>
        <v>21602.62</v>
      </c>
      <c r="I1104" s="35">
        <f t="shared" ref="I1104:J1104" si="445">I1105+I1112</f>
        <v>830.95</v>
      </c>
      <c r="J1104" s="35">
        <f t="shared" si="445"/>
        <v>830.95</v>
      </c>
      <c r="K1104" s="35">
        <v>21602.62</v>
      </c>
      <c r="L1104" s="35">
        <v>830.95</v>
      </c>
      <c r="M1104" s="35">
        <v>830.95</v>
      </c>
      <c r="N1104" s="35"/>
      <c r="O1104" s="35">
        <v>830.95</v>
      </c>
      <c r="P1104" s="35">
        <v>830.95</v>
      </c>
      <c r="Q1104" s="35">
        <v>830.95</v>
      </c>
      <c r="R1104" s="472">
        <f t="shared" si="440"/>
        <v>20771.669999999998</v>
      </c>
      <c r="S1104" s="472">
        <f t="shared" si="441"/>
        <v>0</v>
      </c>
      <c r="T1104" s="472">
        <f t="shared" si="442"/>
        <v>0</v>
      </c>
      <c r="U1104" s="32" t="s">
        <v>70</v>
      </c>
      <c r="V1104" s="33" t="s">
        <v>19</v>
      </c>
      <c r="W1104" s="34" t="s">
        <v>98</v>
      </c>
      <c r="X1104" s="34" t="s">
        <v>124</v>
      </c>
      <c r="Y1104" s="34" t="s">
        <v>223</v>
      </c>
      <c r="Z1104" s="34" t="s">
        <v>90</v>
      </c>
      <c r="AA1104" s="12" t="b">
        <f t="shared" si="429"/>
        <v>1</v>
      </c>
      <c r="AB1104" s="12" t="b">
        <f t="shared" si="430"/>
        <v>1</v>
      </c>
      <c r="AC1104" s="12" t="b">
        <f t="shared" si="431"/>
        <v>1</v>
      </c>
      <c r="AD1104" s="12" t="b">
        <f t="shared" si="432"/>
        <v>1</v>
      </c>
      <c r="AE1104" s="12" t="b">
        <f t="shared" si="433"/>
        <v>1</v>
      </c>
      <c r="AF1104" s="12" t="b">
        <f t="shared" si="434"/>
        <v>1</v>
      </c>
    </row>
    <row r="1105" spans="1:32" s="12" customFormat="1" ht="15.75" customHeight="1">
      <c r="A1105" s="285"/>
      <c r="B1105" s="182" t="s">
        <v>662</v>
      </c>
      <c r="C1105" s="36" t="s">
        <v>19</v>
      </c>
      <c r="D1105" s="37" t="s">
        <v>98</v>
      </c>
      <c r="E1105" s="37" t="s">
        <v>124</v>
      </c>
      <c r="F1105" s="70" t="s">
        <v>282</v>
      </c>
      <c r="G1105" s="37" t="s">
        <v>90</v>
      </c>
      <c r="H1105" s="183">
        <f t="shared" ref="H1105:J1106" si="446">H1106</f>
        <v>330.95</v>
      </c>
      <c r="I1105" s="183">
        <f t="shared" si="446"/>
        <v>330.95</v>
      </c>
      <c r="J1105" s="183">
        <f t="shared" si="446"/>
        <v>330.95</v>
      </c>
      <c r="K1105" s="183">
        <v>330.95</v>
      </c>
      <c r="L1105" s="183">
        <v>330.95</v>
      </c>
      <c r="M1105" s="183">
        <v>330.95</v>
      </c>
      <c r="N1105" s="183"/>
      <c r="O1105" s="183">
        <v>330.95</v>
      </c>
      <c r="P1105" s="183">
        <v>330.95</v>
      </c>
      <c r="Q1105" s="183">
        <v>330.95</v>
      </c>
      <c r="R1105" s="472">
        <f t="shared" si="440"/>
        <v>0</v>
      </c>
      <c r="S1105" s="472">
        <f t="shared" si="441"/>
        <v>0</v>
      </c>
      <c r="T1105" s="472">
        <f t="shared" si="442"/>
        <v>0</v>
      </c>
      <c r="U1105" s="182" t="s">
        <v>662</v>
      </c>
      <c r="V1105" s="36" t="s">
        <v>19</v>
      </c>
      <c r="W1105" s="37" t="s">
        <v>98</v>
      </c>
      <c r="X1105" s="37" t="s">
        <v>124</v>
      </c>
      <c r="Y1105" s="70" t="s">
        <v>282</v>
      </c>
      <c r="Z1105" s="37" t="s">
        <v>90</v>
      </c>
      <c r="AA1105" s="12" t="b">
        <f t="shared" si="429"/>
        <v>1</v>
      </c>
      <c r="AB1105" s="12" t="b">
        <f t="shared" si="430"/>
        <v>1</v>
      </c>
      <c r="AC1105" s="12" t="b">
        <f t="shared" si="431"/>
        <v>1</v>
      </c>
      <c r="AD1105" s="12" t="b">
        <f t="shared" si="432"/>
        <v>1</v>
      </c>
      <c r="AE1105" s="12" t="b">
        <f t="shared" si="433"/>
        <v>1</v>
      </c>
      <c r="AF1105" s="12" t="b">
        <f t="shared" si="434"/>
        <v>1</v>
      </c>
    </row>
    <row r="1106" spans="1:32" s="12" customFormat="1" ht="15.75" customHeight="1">
      <c r="A1106" s="285"/>
      <c r="B1106" s="182" t="s">
        <v>663</v>
      </c>
      <c r="C1106" s="36" t="s">
        <v>19</v>
      </c>
      <c r="D1106" s="37" t="s">
        <v>98</v>
      </c>
      <c r="E1106" s="37" t="s">
        <v>124</v>
      </c>
      <c r="F1106" s="70" t="s">
        <v>283</v>
      </c>
      <c r="G1106" s="37" t="s">
        <v>90</v>
      </c>
      <c r="H1106" s="183">
        <f t="shared" si="446"/>
        <v>330.95</v>
      </c>
      <c r="I1106" s="183">
        <f t="shared" si="446"/>
        <v>330.95</v>
      </c>
      <c r="J1106" s="183">
        <f t="shared" si="446"/>
        <v>330.95</v>
      </c>
      <c r="K1106" s="183">
        <v>330.95</v>
      </c>
      <c r="L1106" s="183">
        <v>330.95</v>
      </c>
      <c r="M1106" s="183">
        <v>330.95</v>
      </c>
      <c r="N1106" s="183"/>
      <c r="O1106" s="183">
        <v>330.95</v>
      </c>
      <c r="P1106" s="183">
        <v>330.95</v>
      </c>
      <c r="Q1106" s="183">
        <v>330.95</v>
      </c>
      <c r="R1106" s="472">
        <f t="shared" si="440"/>
        <v>0</v>
      </c>
      <c r="S1106" s="472">
        <f t="shared" si="441"/>
        <v>0</v>
      </c>
      <c r="T1106" s="472">
        <f t="shared" si="442"/>
        <v>0</v>
      </c>
      <c r="U1106" s="182" t="s">
        <v>663</v>
      </c>
      <c r="V1106" s="36" t="s">
        <v>19</v>
      </c>
      <c r="W1106" s="37" t="s">
        <v>98</v>
      </c>
      <c r="X1106" s="37" t="s">
        <v>124</v>
      </c>
      <c r="Y1106" s="70" t="s">
        <v>283</v>
      </c>
      <c r="Z1106" s="37" t="s">
        <v>90</v>
      </c>
      <c r="AA1106" s="12" t="b">
        <f t="shared" si="429"/>
        <v>1</v>
      </c>
      <c r="AB1106" s="12" t="b">
        <f t="shared" si="430"/>
        <v>1</v>
      </c>
      <c r="AC1106" s="12" t="b">
        <f t="shared" si="431"/>
        <v>1</v>
      </c>
      <c r="AD1106" s="12" t="b">
        <f t="shared" si="432"/>
        <v>1</v>
      </c>
      <c r="AE1106" s="12" t="b">
        <f t="shared" si="433"/>
        <v>1</v>
      </c>
      <c r="AF1106" s="12" t="b">
        <f t="shared" si="434"/>
        <v>1</v>
      </c>
    </row>
    <row r="1107" spans="1:32" s="12" customFormat="1" ht="15.75" customHeight="1">
      <c r="A1107" s="285"/>
      <c r="B1107" s="182" t="s">
        <v>284</v>
      </c>
      <c r="C1107" s="36" t="s">
        <v>19</v>
      </c>
      <c r="D1107" s="37" t="s">
        <v>98</v>
      </c>
      <c r="E1107" s="37" t="s">
        <v>124</v>
      </c>
      <c r="F1107" s="70" t="s">
        <v>287</v>
      </c>
      <c r="G1107" s="37" t="s">
        <v>90</v>
      </c>
      <c r="H1107" s="183">
        <f>H1110+H1108</f>
        <v>330.95</v>
      </c>
      <c r="I1107" s="183">
        <f>I1110+I1108</f>
        <v>330.95</v>
      </c>
      <c r="J1107" s="183">
        <f>J1110+J1108</f>
        <v>330.95</v>
      </c>
      <c r="K1107" s="183">
        <v>330.95</v>
      </c>
      <c r="L1107" s="183">
        <v>330.95</v>
      </c>
      <c r="M1107" s="183">
        <v>330.95</v>
      </c>
      <c r="N1107" s="183"/>
      <c r="O1107" s="183">
        <v>330.95</v>
      </c>
      <c r="P1107" s="183">
        <v>330.95</v>
      </c>
      <c r="Q1107" s="183">
        <v>330.95</v>
      </c>
      <c r="R1107" s="472">
        <f t="shared" si="440"/>
        <v>0</v>
      </c>
      <c r="S1107" s="472">
        <f t="shared" si="441"/>
        <v>0</v>
      </c>
      <c r="T1107" s="472">
        <f t="shared" si="442"/>
        <v>0</v>
      </c>
      <c r="U1107" s="182" t="s">
        <v>284</v>
      </c>
      <c r="V1107" s="36" t="s">
        <v>19</v>
      </c>
      <c r="W1107" s="37" t="s">
        <v>98</v>
      </c>
      <c r="X1107" s="37" t="s">
        <v>124</v>
      </c>
      <c r="Y1107" s="70" t="s">
        <v>287</v>
      </c>
      <c r="Z1107" s="37" t="s">
        <v>90</v>
      </c>
      <c r="AA1107" s="12" t="b">
        <f t="shared" si="429"/>
        <v>1</v>
      </c>
      <c r="AB1107" s="12" t="b">
        <f t="shared" si="430"/>
        <v>1</v>
      </c>
      <c r="AC1107" s="12" t="b">
        <f t="shared" si="431"/>
        <v>1</v>
      </c>
      <c r="AD1107" s="12" t="b">
        <f t="shared" si="432"/>
        <v>1</v>
      </c>
      <c r="AE1107" s="12" t="b">
        <f t="shared" si="433"/>
        <v>1</v>
      </c>
      <c r="AF1107" s="12" t="b">
        <f t="shared" si="434"/>
        <v>1</v>
      </c>
    </row>
    <row r="1108" spans="1:32" s="12" customFormat="1" ht="15.75" customHeight="1">
      <c r="A1108" s="285"/>
      <c r="B1108" s="178" t="s">
        <v>193</v>
      </c>
      <c r="C1108" s="36" t="s">
        <v>19</v>
      </c>
      <c r="D1108" s="37" t="s">
        <v>98</v>
      </c>
      <c r="E1108" s="37" t="s">
        <v>124</v>
      </c>
      <c r="F1108" s="37" t="s">
        <v>954</v>
      </c>
      <c r="G1108" s="37" t="s">
        <v>90</v>
      </c>
      <c r="H1108" s="183">
        <f>H1109</f>
        <v>248.63</v>
      </c>
      <c r="I1108" s="183">
        <f>I1109</f>
        <v>248.63</v>
      </c>
      <c r="J1108" s="183">
        <f>J1109</f>
        <v>248.63</v>
      </c>
      <c r="K1108" s="183">
        <v>248.63</v>
      </c>
      <c r="L1108" s="183">
        <v>248.63</v>
      </c>
      <c r="M1108" s="183">
        <v>248.63</v>
      </c>
      <c r="N1108" s="183"/>
      <c r="O1108" s="183">
        <v>248.63</v>
      </c>
      <c r="P1108" s="183">
        <v>248.63</v>
      </c>
      <c r="Q1108" s="183">
        <v>248.63</v>
      </c>
      <c r="R1108" s="472">
        <f t="shared" si="440"/>
        <v>0</v>
      </c>
      <c r="S1108" s="472">
        <f t="shared" si="441"/>
        <v>0</v>
      </c>
      <c r="T1108" s="472">
        <f t="shared" si="442"/>
        <v>0</v>
      </c>
      <c r="U1108" s="178" t="s">
        <v>193</v>
      </c>
      <c r="V1108" s="36" t="s">
        <v>19</v>
      </c>
      <c r="W1108" s="37" t="s">
        <v>98</v>
      </c>
      <c r="X1108" s="37" t="s">
        <v>124</v>
      </c>
      <c r="Y1108" s="37" t="s">
        <v>954</v>
      </c>
      <c r="Z1108" s="37" t="s">
        <v>90</v>
      </c>
      <c r="AA1108" s="12" t="b">
        <f t="shared" si="429"/>
        <v>1</v>
      </c>
      <c r="AB1108" s="12" t="b">
        <f t="shared" si="430"/>
        <v>1</v>
      </c>
      <c r="AC1108" s="12" t="b">
        <f t="shared" si="431"/>
        <v>1</v>
      </c>
      <c r="AD1108" s="12" t="b">
        <f t="shared" si="432"/>
        <v>1</v>
      </c>
      <c r="AE1108" s="12" t="b">
        <f t="shared" si="433"/>
        <v>1</v>
      </c>
      <c r="AF1108" s="12" t="b">
        <f t="shared" si="434"/>
        <v>1</v>
      </c>
    </row>
    <row r="1109" spans="1:32" s="12" customFormat="1" ht="15.75" customHeight="1">
      <c r="A1109" s="285"/>
      <c r="B1109" s="178" t="s">
        <v>145</v>
      </c>
      <c r="C1109" s="36" t="s">
        <v>19</v>
      </c>
      <c r="D1109" s="37" t="s">
        <v>98</v>
      </c>
      <c r="E1109" s="37" t="s">
        <v>124</v>
      </c>
      <c r="F1109" s="37" t="s">
        <v>954</v>
      </c>
      <c r="G1109" s="37" t="s">
        <v>153</v>
      </c>
      <c r="H1109" s="183">
        <v>248.63</v>
      </c>
      <c r="I1109" s="183">
        <v>248.63</v>
      </c>
      <c r="J1109" s="183">
        <v>248.63</v>
      </c>
      <c r="K1109" s="183">
        <v>248.63</v>
      </c>
      <c r="L1109" s="183">
        <v>248.63</v>
      </c>
      <c r="M1109" s="183">
        <v>248.63</v>
      </c>
      <c r="N1109" s="183"/>
      <c r="O1109" s="183">
        <v>248.63</v>
      </c>
      <c r="P1109" s="183">
        <v>248.63</v>
      </c>
      <c r="Q1109" s="183">
        <v>248.63</v>
      </c>
      <c r="R1109" s="472">
        <f t="shared" si="440"/>
        <v>0</v>
      </c>
      <c r="S1109" s="472">
        <f t="shared" si="441"/>
        <v>0</v>
      </c>
      <c r="T1109" s="472">
        <f t="shared" si="442"/>
        <v>0</v>
      </c>
      <c r="U1109" s="178" t="s">
        <v>145</v>
      </c>
      <c r="V1109" s="36" t="s">
        <v>19</v>
      </c>
      <c r="W1109" s="37" t="s">
        <v>98</v>
      </c>
      <c r="X1109" s="37" t="s">
        <v>124</v>
      </c>
      <c r="Y1109" s="37" t="s">
        <v>954</v>
      </c>
      <c r="Z1109" s="37" t="s">
        <v>153</v>
      </c>
      <c r="AA1109" s="12" t="b">
        <f t="shared" si="429"/>
        <v>1</v>
      </c>
      <c r="AB1109" s="12" t="b">
        <f t="shared" si="430"/>
        <v>1</v>
      </c>
      <c r="AC1109" s="12" t="b">
        <f t="shared" si="431"/>
        <v>1</v>
      </c>
      <c r="AD1109" s="12" t="b">
        <f t="shared" si="432"/>
        <v>1</v>
      </c>
      <c r="AE1109" s="12" t="b">
        <f t="shared" si="433"/>
        <v>1</v>
      </c>
      <c r="AF1109" s="12" t="b">
        <f t="shared" si="434"/>
        <v>1</v>
      </c>
    </row>
    <row r="1110" spans="1:32" s="12" customFormat="1" ht="15.75" customHeight="1">
      <c r="A1110" s="285"/>
      <c r="B1110" s="182" t="s">
        <v>739</v>
      </c>
      <c r="C1110" s="36" t="s">
        <v>19</v>
      </c>
      <c r="D1110" s="37" t="s">
        <v>98</v>
      </c>
      <c r="E1110" s="37" t="s">
        <v>124</v>
      </c>
      <c r="F1110" s="37" t="s">
        <v>955</v>
      </c>
      <c r="G1110" s="37" t="s">
        <v>90</v>
      </c>
      <c r="H1110" s="183">
        <f>H1111</f>
        <v>82.32</v>
      </c>
      <c r="I1110" s="183">
        <f>I1111</f>
        <v>82.32</v>
      </c>
      <c r="J1110" s="183">
        <f>J1111</f>
        <v>82.32</v>
      </c>
      <c r="K1110" s="183">
        <v>82.32</v>
      </c>
      <c r="L1110" s="183">
        <v>82.32</v>
      </c>
      <c r="M1110" s="183">
        <v>82.32</v>
      </c>
      <c r="N1110" s="183"/>
      <c r="O1110" s="183">
        <v>82.32</v>
      </c>
      <c r="P1110" s="183">
        <v>82.32</v>
      </c>
      <c r="Q1110" s="183">
        <v>82.32</v>
      </c>
      <c r="R1110" s="472">
        <f t="shared" si="440"/>
        <v>0</v>
      </c>
      <c r="S1110" s="472">
        <f t="shared" si="441"/>
        <v>0</v>
      </c>
      <c r="T1110" s="472">
        <f t="shared" si="442"/>
        <v>0</v>
      </c>
      <c r="U1110" s="182" t="s">
        <v>739</v>
      </c>
      <c r="V1110" s="36" t="s">
        <v>19</v>
      </c>
      <c r="W1110" s="37" t="s">
        <v>98</v>
      </c>
      <c r="X1110" s="37" t="s">
        <v>124</v>
      </c>
      <c r="Y1110" s="37" t="s">
        <v>955</v>
      </c>
      <c r="Z1110" s="37" t="s">
        <v>90</v>
      </c>
      <c r="AA1110" s="12" t="b">
        <f t="shared" si="429"/>
        <v>1</v>
      </c>
      <c r="AB1110" s="12" t="b">
        <f t="shared" si="430"/>
        <v>1</v>
      </c>
      <c r="AC1110" s="12" t="b">
        <f t="shared" si="431"/>
        <v>1</v>
      </c>
      <c r="AD1110" s="12" t="b">
        <f t="shared" si="432"/>
        <v>1</v>
      </c>
      <c r="AE1110" s="12" t="b">
        <f t="shared" si="433"/>
        <v>1</v>
      </c>
      <c r="AF1110" s="12" t="b">
        <f t="shared" si="434"/>
        <v>1</v>
      </c>
    </row>
    <row r="1111" spans="1:32" s="12" customFormat="1" ht="15.75" customHeight="1">
      <c r="A1111" s="285"/>
      <c r="B1111" s="182" t="s">
        <v>145</v>
      </c>
      <c r="C1111" s="36" t="s">
        <v>19</v>
      </c>
      <c r="D1111" s="37" t="s">
        <v>98</v>
      </c>
      <c r="E1111" s="37" t="s">
        <v>124</v>
      </c>
      <c r="F1111" s="37" t="s">
        <v>955</v>
      </c>
      <c r="G1111" s="37" t="s">
        <v>153</v>
      </c>
      <c r="H1111" s="183">
        <v>82.32</v>
      </c>
      <c r="I1111" s="183">
        <v>82.32</v>
      </c>
      <c r="J1111" s="183">
        <v>82.32</v>
      </c>
      <c r="K1111" s="183">
        <v>82.32</v>
      </c>
      <c r="L1111" s="183">
        <v>82.32</v>
      </c>
      <c r="M1111" s="183">
        <v>82.32</v>
      </c>
      <c r="N1111" s="183"/>
      <c r="O1111" s="183">
        <v>82.32</v>
      </c>
      <c r="P1111" s="183">
        <v>82.32</v>
      </c>
      <c r="Q1111" s="183">
        <v>82.32</v>
      </c>
      <c r="R1111" s="472">
        <f t="shared" si="440"/>
        <v>0</v>
      </c>
      <c r="S1111" s="472">
        <f t="shared" si="441"/>
        <v>0</v>
      </c>
      <c r="T1111" s="472">
        <f t="shared" si="442"/>
        <v>0</v>
      </c>
      <c r="U1111" s="182" t="s">
        <v>145</v>
      </c>
      <c r="V1111" s="36" t="s">
        <v>19</v>
      </c>
      <c r="W1111" s="37" t="s">
        <v>98</v>
      </c>
      <c r="X1111" s="37" t="s">
        <v>124</v>
      </c>
      <c r="Y1111" s="37" t="s">
        <v>955</v>
      </c>
      <c r="Z1111" s="37" t="s">
        <v>153</v>
      </c>
      <c r="AA1111" s="12" t="b">
        <f t="shared" si="429"/>
        <v>1</v>
      </c>
      <c r="AB1111" s="12" t="b">
        <f t="shared" si="430"/>
        <v>1</v>
      </c>
      <c r="AC1111" s="12" t="b">
        <f t="shared" si="431"/>
        <v>1</v>
      </c>
      <c r="AD1111" s="12" t="b">
        <f t="shared" si="432"/>
        <v>1</v>
      </c>
      <c r="AE1111" s="12" t="b">
        <f t="shared" si="433"/>
        <v>1</v>
      </c>
      <c r="AF1111" s="12" t="b">
        <f t="shared" si="434"/>
        <v>1</v>
      </c>
    </row>
    <row r="1112" spans="1:32" s="12" customFormat="1" ht="15.75" customHeight="1">
      <c r="A1112" s="285"/>
      <c r="B1112" s="182" t="s">
        <v>173</v>
      </c>
      <c r="C1112" s="37" t="s">
        <v>19</v>
      </c>
      <c r="D1112" s="37" t="s">
        <v>98</v>
      </c>
      <c r="E1112" s="37" t="s">
        <v>124</v>
      </c>
      <c r="F1112" s="37" t="s">
        <v>447</v>
      </c>
      <c r="G1112" s="37" t="s">
        <v>90</v>
      </c>
      <c r="H1112" s="183">
        <f t="shared" ref="H1112:J1114" si="447">H1113</f>
        <v>500</v>
      </c>
      <c r="I1112" s="183">
        <f t="shared" si="447"/>
        <v>500</v>
      </c>
      <c r="J1112" s="183">
        <f t="shared" si="447"/>
        <v>500</v>
      </c>
      <c r="K1112" s="183">
        <v>500</v>
      </c>
      <c r="L1112" s="183">
        <v>500</v>
      </c>
      <c r="M1112" s="183">
        <v>500</v>
      </c>
      <c r="N1112" s="183"/>
      <c r="O1112" s="183">
        <v>500</v>
      </c>
      <c r="P1112" s="183">
        <v>500</v>
      </c>
      <c r="Q1112" s="183">
        <v>500</v>
      </c>
      <c r="R1112" s="472">
        <f t="shared" ref="R1112:R1146" si="448">H1112-O1112</f>
        <v>0</v>
      </c>
      <c r="S1112" s="472">
        <f t="shared" ref="S1112:S1146" si="449">I1112-P1112</f>
        <v>0</v>
      </c>
      <c r="T1112" s="472">
        <f t="shared" ref="T1112:T1146" si="450">J1112-Q1112</f>
        <v>0</v>
      </c>
      <c r="U1112" s="182" t="s">
        <v>173</v>
      </c>
      <c r="V1112" s="37" t="s">
        <v>19</v>
      </c>
      <c r="W1112" s="37" t="s">
        <v>98</v>
      </c>
      <c r="X1112" s="37" t="s">
        <v>124</v>
      </c>
      <c r="Y1112" s="37" t="s">
        <v>447</v>
      </c>
      <c r="Z1112" s="37" t="s">
        <v>90</v>
      </c>
      <c r="AA1112" s="12" t="b">
        <f t="shared" si="429"/>
        <v>1</v>
      </c>
      <c r="AB1112" s="12" t="b">
        <f t="shared" si="430"/>
        <v>1</v>
      </c>
      <c r="AC1112" s="12" t="b">
        <f t="shared" si="431"/>
        <v>1</v>
      </c>
      <c r="AD1112" s="12" t="b">
        <f t="shared" si="432"/>
        <v>1</v>
      </c>
      <c r="AE1112" s="12" t="b">
        <f t="shared" si="433"/>
        <v>1</v>
      </c>
      <c r="AF1112" s="12" t="b">
        <f t="shared" si="434"/>
        <v>1</v>
      </c>
    </row>
    <row r="1113" spans="1:32" s="12" customFormat="1" ht="15.75" customHeight="1">
      <c r="A1113" s="285"/>
      <c r="B1113" s="182" t="s">
        <v>174</v>
      </c>
      <c r="C1113" s="37" t="s">
        <v>19</v>
      </c>
      <c r="D1113" s="37" t="s">
        <v>98</v>
      </c>
      <c r="E1113" s="37" t="s">
        <v>124</v>
      </c>
      <c r="F1113" s="37" t="s">
        <v>448</v>
      </c>
      <c r="G1113" s="37" t="s">
        <v>90</v>
      </c>
      <c r="H1113" s="183">
        <f t="shared" si="447"/>
        <v>500</v>
      </c>
      <c r="I1113" s="183">
        <f t="shared" si="447"/>
        <v>500</v>
      </c>
      <c r="J1113" s="183">
        <f t="shared" si="447"/>
        <v>500</v>
      </c>
      <c r="K1113" s="183">
        <v>500</v>
      </c>
      <c r="L1113" s="183">
        <v>500</v>
      </c>
      <c r="M1113" s="183">
        <v>500</v>
      </c>
      <c r="N1113" s="183"/>
      <c r="O1113" s="183">
        <v>500</v>
      </c>
      <c r="P1113" s="183">
        <v>500</v>
      </c>
      <c r="Q1113" s="183">
        <v>500</v>
      </c>
      <c r="R1113" s="472">
        <f t="shared" si="448"/>
        <v>0</v>
      </c>
      <c r="S1113" s="472">
        <f t="shared" si="449"/>
        <v>0</v>
      </c>
      <c r="T1113" s="472">
        <f t="shared" si="450"/>
        <v>0</v>
      </c>
      <c r="U1113" s="182" t="s">
        <v>174</v>
      </c>
      <c r="V1113" s="37" t="s">
        <v>19</v>
      </c>
      <c r="W1113" s="37" t="s">
        <v>98</v>
      </c>
      <c r="X1113" s="37" t="s">
        <v>124</v>
      </c>
      <c r="Y1113" s="37" t="s">
        <v>448</v>
      </c>
      <c r="Z1113" s="37" t="s">
        <v>90</v>
      </c>
      <c r="AA1113" s="12" t="b">
        <f t="shared" si="429"/>
        <v>1</v>
      </c>
      <c r="AB1113" s="12" t="b">
        <f t="shared" si="430"/>
        <v>1</v>
      </c>
      <c r="AC1113" s="12" t="b">
        <f t="shared" si="431"/>
        <v>1</v>
      </c>
      <c r="AD1113" s="12" t="b">
        <f t="shared" si="432"/>
        <v>1</v>
      </c>
      <c r="AE1113" s="12" t="b">
        <f t="shared" si="433"/>
        <v>1</v>
      </c>
      <c r="AF1113" s="12" t="b">
        <f t="shared" si="434"/>
        <v>1</v>
      </c>
    </row>
    <row r="1114" spans="1:32" s="12" customFormat="1" ht="15.75" customHeight="1">
      <c r="A1114" s="285"/>
      <c r="B1114" s="182" t="s">
        <v>165</v>
      </c>
      <c r="C1114" s="37" t="s">
        <v>19</v>
      </c>
      <c r="D1114" s="37" t="s">
        <v>98</v>
      </c>
      <c r="E1114" s="37" t="s">
        <v>124</v>
      </c>
      <c r="F1114" s="37" t="s">
        <v>449</v>
      </c>
      <c r="G1114" s="37" t="s">
        <v>90</v>
      </c>
      <c r="H1114" s="183">
        <f t="shared" si="447"/>
        <v>500</v>
      </c>
      <c r="I1114" s="183">
        <f t="shared" si="447"/>
        <v>500</v>
      </c>
      <c r="J1114" s="183">
        <f t="shared" si="447"/>
        <v>500</v>
      </c>
      <c r="K1114" s="183">
        <v>500</v>
      </c>
      <c r="L1114" s="183">
        <v>500</v>
      </c>
      <c r="M1114" s="183">
        <v>500</v>
      </c>
      <c r="N1114" s="183"/>
      <c r="O1114" s="183">
        <v>500</v>
      </c>
      <c r="P1114" s="183">
        <v>500</v>
      </c>
      <c r="Q1114" s="183">
        <v>500</v>
      </c>
      <c r="R1114" s="472">
        <f t="shared" si="448"/>
        <v>0</v>
      </c>
      <c r="S1114" s="472">
        <f t="shared" si="449"/>
        <v>0</v>
      </c>
      <c r="T1114" s="472">
        <f t="shared" si="450"/>
        <v>0</v>
      </c>
      <c r="U1114" s="182" t="s">
        <v>165</v>
      </c>
      <c r="V1114" s="37" t="s">
        <v>19</v>
      </c>
      <c r="W1114" s="37" t="s">
        <v>98</v>
      </c>
      <c r="X1114" s="37" t="s">
        <v>124</v>
      </c>
      <c r="Y1114" s="37" t="s">
        <v>449</v>
      </c>
      <c r="Z1114" s="37" t="s">
        <v>90</v>
      </c>
      <c r="AA1114" s="12" t="b">
        <f t="shared" si="429"/>
        <v>1</v>
      </c>
      <c r="AB1114" s="12" t="b">
        <f t="shared" si="430"/>
        <v>1</v>
      </c>
      <c r="AC1114" s="12" t="b">
        <f t="shared" si="431"/>
        <v>1</v>
      </c>
      <c r="AD1114" s="12" t="b">
        <f t="shared" si="432"/>
        <v>1</v>
      </c>
      <c r="AE1114" s="12" t="b">
        <f t="shared" si="433"/>
        <v>1</v>
      </c>
      <c r="AF1114" s="12" t="b">
        <f t="shared" si="434"/>
        <v>1</v>
      </c>
    </row>
    <row r="1115" spans="1:32" s="12" customFormat="1" ht="15.75" customHeight="1">
      <c r="A1115" s="285"/>
      <c r="B1115" s="182" t="s">
        <v>136</v>
      </c>
      <c r="C1115" s="37" t="s">
        <v>19</v>
      </c>
      <c r="D1115" s="37" t="s">
        <v>98</v>
      </c>
      <c r="E1115" s="37" t="s">
        <v>124</v>
      </c>
      <c r="F1115" s="37" t="s">
        <v>449</v>
      </c>
      <c r="G1115" s="37" t="s">
        <v>166</v>
      </c>
      <c r="H1115" s="183">
        <v>500</v>
      </c>
      <c r="I1115" s="183">
        <v>500</v>
      </c>
      <c r="J1115" s="183">
        <v>500</v>
      </c>
      <c r="K1115" s="183">
        <v>500</v>
      </c>
      <c r="L1115" s="183">
        <v>500</v>
      </c>
      <c r="M1115" s="183">
        <v>500</v>
      </c>
      <c r="N1115" s="183"/>
      <c r="O1115" s="183">
        <v>500</v>
      </c>
      <c r="P1115" s="183">
        <v>500</v>
      </c>
      <c r="Q1115" s="183">
        <v>500</v>
      </c>
      <c r="R1115" s="472">
        <f t="shared" si="448"/>
        <v>0</v>
      </c>
      <c r="S1115" s="472">
        <f t="shared" si="449"/>
        <v>0</v>
      </c>
      <c r="T1115" s="472">
        <f t="shared" si="450"/>
        <v>0</v>
      </c>
      <c r="U1115" s="182" t="s">
        <v>136</v>
      </c>
      <c r="V1115" s="37" t="s">
        <v>19</v>
      </c>
      <c r="W1115" s="37" t="s">
        <v>98</v>
      </c>
      <c r="X1115" s="37" t="s">
        <v>124</v>
      </c>
      <c r="Y1115" s="37" t="s">
        <v>449</v>
      </c>
      <c r="Z1115" s="37" t="s">
        <v>166</v>
      </c>
      <c r="AA1115" s="12" t="b">
        <f t="shared" si="429"/>
        <v>1</v>
      </c>
      <c r="AB1115" s="12" t="b">
        <f t="shared" si="430"/>
        <v>1</v>
      </c>
      <c r="AC1115" s="12" t="b">
        <f t="shared" si="431"/>
        <v>1</v>
      </c>
      <c r="AD1115" s="12" t="b">
        <f t="shared" si="432"/>
        <v>1</v>
      </c>
      <c r="AE1115" s="12" t="b">
        <f t="shared" si="433"/>
        <v>1</v>
      </c>
      <c r="AF1115" s="12" t="b">
        <f t="shared" si="434"/>
        <v>1</v>
      </c>
    </row>
    <row r="1116" spans="1:32" s="12" customFormat="1" ht="15.75" customHeight="1">
      <c r="A1116" s="285"/>
      <c r="B1116" s="54" t="s">
        <v>607</v>
      </c>
      <c r="C1116" s="57" t="s">
        <v>19</v>
      </c>
      <c r="D1116" s="57" t="s">
        <v>98</v>
      </c>
      <c r="E1116" s="57" t="s">
        <v>124</v>
      </c>
      <c r="F1116" s="57" t="s">
        <v>604</v>
      </c>
      <c r="G1116" s="57" t="s">
        <v>90</v>
      </c>
      <c r="H1116" s="58">
        <f>H1117</f>
        <v>20771.669999999998</v>
      </c>
      <c r="I1116" s="183"/>
      <c r="J1116" s="183"/>
      <c r="K1116" s="183">
        <v>20771.669999999998</v>
      </c>
      <c r="L1116" s="183"/>
      <c r="M1116" s="183"/>
      <c r="N1116" s="183"/>
      <c r="O1116" s="183"/>
      <c r="P1116" s="183"/>
      <c r="Q1116" s="183"/>
      <c r="R1116" s="472"/>
      <c r="S1116" s="472"/>
      <c r="T1116" s="472"/>
      <c r="U1116" s="182"/>
      <c r="V1116" s="37"/>
      <c r="W1116" s="37"/>
      <c r="X1116" s="37"/>
      <c r="Y1116" s="37"/>
      <c r="Z1116" s="37"/>
    </row>
    <row r="1117" spans="1:32" s="12" customFormat="1" ht="15.75" customHeight="1">
      <c r="A1117" s="285"/>
      <c r="B1117" s="54" t="s">
        <v>608</v>
      </c>
      <c r="C1117" s="57" t="s">
        <v>19</v>
      </c>
      <c r="D1117" s="57" t="s">
        <v>98</v>
      </c>
      <c r="E1117" s="57" t="s">
        <v>124</v>
      </c>
      <c r="F1117" s="57" t="s">
        <v>605</v>
      </c>
      <c r="G1117" s="57" t="s">
        <v>90</v>
      </c>
      <c r="H1117" s="58">
        <f>H1118</f>
        <v>20771.669999999998</v>
      </c>
      <c r="I1117" s="183"/>
      <c r="J1117" s="183"/>
      <c r="K1117" s="183">
        <v>20771.669999999998</v>
      </c>
      <c r="L1117" s="183"/>
      <c r="M1117" s="183"/>
      <c r="N1117" s="183"/>
      <c r="O1117" s="183"/>
      <c r="P1117" s="183"/>
      <c r="Q1117" s="183"/>
      <c r="R1117" s="472"/>
      <c r="S1117" s="472"/>
      <c r="T1117" s="472"/>
      <c r="U1117" s="182"/>
      <c r="V1117" s="37"/>
      <c r="W1117" s="37"/>
      <c r="X1117" s="37"/>
      <c r="Y1117" s="37"/>
      <c r="Z1117" s="37"/>
    </row>
    <row r="1118" spans="1:32" s="12" customFormat="1" ht="15.75" customHeight="1">
      <c r="A1118" s="285"/>
      <c r="B1118" s="54" t="s">
        <v>1254</v>
      </c>
      <c r="C1118" s="57" t="s">
        <v>19</v>
      </c>
      <c r="D1118" s="57" t="s">
        <v>98</v>
      </c>
      <c r="E1118" s="57" t="s">
        <v>124</v>
      </c>
      <c r="F1118" s="57" t="s">
        <v>1255</v>
      </c>
      <c r="G1118" s="57" t="s">
        <v>90</v>
      </c>
      <c r="H1118" s="58">
        <f>H1119</f>
        <v>20771.669999999998</v>
      </c>
      <c r="I1118" s="183"/>
      <c r="J1118" s="183"/>
      <c r="K1118" s="183">
        <v>20771.669999999998</v>
      </c>
      <c r="L1118" s="183"/>
      <c r="M1118" s="183"/>
      <c r="N1118" s="183"/>
      <c r="O1118" s="183"/>
      <c r="P1118" s="183"/>
      <c r="Q1118" s="183"/>
      <c r="R1118" s="472"/>
      <c r="S1118" s="472"/>
      <c r="T1118" s="472"/>
      <c r="U1118" s="182"/>
      <c r="V1118" s="37"/>
      <c r="W1118" s="37"/>
      <c r="X1118" s="37"/>
      <c r="Y1118" s="37"/>
      <c r="Z1118" s="37"/>
    </row>
    <row r="1119" spans="1:32" s="12" customFormat="1" ht="15.75" customHeight="1">
      <c r="A1119" s="285"/>
      <c r="B1119" s="54" t="s">
        <v>137</v>
      </c>
      <c r="C1119" s="57" t="s">
        <v>19</v>
      </c>
      <c r="D1119" s="57" t="s">
        <v>98</v>
      </c>
      <c r="E1119" s="57" t="s">
        <v>124</v>
      </c>
      <c r="F1119" s="57" t="s">
        <v>1255</v>
      </c>
      <c r="G1119" s="57" t="s">
        <v>155</v>
      </c>
      <c r="H1119" s="58">
        <f>17134.23+3637.44</f>
        <v>20771.669999999998</v>
      </c>
      <c r="I1119" s="183"/>
      <c r="J1119" s="183"/>
      <c r="K1119" s="183">
        <v>20771.669999999998</v>
      </c>
      <c r="L1119" s="183"/>
      <c r="M1119" s="183"/>
      <c r="N1119" s="183"/>
      <c r="O1119" s="183"/>
      <c r="P1119" s="183"/>
      <c r="Q1119" s="183"/>
      <c r="R1119" s="472"/>
      <c r="S1119" s="472"/>
      <c r="T1119" s="472"/>
      <c r="U1119" s="182"/>
      <c r="V1119" s="37"/>
      <c r="W1119" s="37"/>
      <c r="X1119" s="37"/>
      <c r="Y1119" s="37"/>
      <c r="Z1119" s="37"/>
    </row>
    <row r="1120" spans="1:32" s="12" customFormat="1" ht="15.75" customHeight="1">
      <c r="A1120" s="285"/>
      <c r="B1120" s="28" t="s">
        <v>67</v>
      </c>
      <c r="C1120" s="29" t="s">
        <v>19</v>
      </c>
      <c r="D1120" s="30" t="s">
        <v>69</v>
      </c>
      <c r="E1120" s="30" t="s">
        <v>83</v>
      </c>
      <c r="F1120" s="30" t="s">
        <v>223</v>
      </c>
      <c r="G1120" s="30" t="s">
        <v>90</v>
      </c>
      <c r="H1120" s="31">
        <f>H1127+H1133+H1121</f>
        <v>1223290.7899999998</v>
      </c>
      <c r="I1120" s="31">
        <f>I1127+I1133+I1121</f>
        <v>204398.45</v>
      </c>
      <c r="J1120" s="31">
        <f>J1127+J1133+J1121</f>
        <v>204587.50000000003</v>
      </c>
      <c r="K1120" s="31">
        <v>1282694.2999999998</v>
      </c>
      <c r="L1120" s="31">
        <v>204398.45</v>
      </c>
      <c r="M1120" s="31">
        <v>204587.50000000003</v>
      </c>
      <c r="N1120" s="31"/>
      <c r="O1120" s="31">
        <v>1003159.7799999999</v>
      </c>
      <c r="P1120" s="31">
        <v>204295.62000000002</v>
      </c>
      <c r="Q1120" s="31">
        <v>204484.67</v>
      </c>
      <c r="R1120" s="472">
        <f t="shared" si="448"/>
        <v>220131.00999999989</v>
      </c>
      <c r="S1120" s="472">
        <f t="shared" si="449"/>
        <v>102.82999999998719</v>
      </c>
      <c r="T1120" s="472">
        <f t="shared" si="450"/>
        <v>102.8300000000163</v>
      </c>
      <c r="U1120" s="28" t="s">
        <v>67</v>
      </c>
      <c r="V1120" s="29" t="s">
        <v>19</v>
      </c>
      <c r="W1120" s="30" t="s">
        <v>69</v>
      </c>
      <c r="X1120" s="30" t="s">
        <v>83</v>
      </c>
      <c r="Y1120" s="30" t="s">
        <v>223</v>
      </c>
      <c r="Z1120" s="30" t="s">
        <v>90</v>
      </c>
      <c r="AA1120" s="12" t="b">
        <f t="shared" si="429"/>
        <v>1</v>
      </c>
      <c r="AB1120" s="12" t="b">
        <f t="shared" si="430"/>
        <v>1</v>
      </c>
      <c r="AC1120" s="12" t="b">
        <f t="shared" si="431"/>
        <v>1</v>
      </c>
      <c r="AD1120" s="12" t="b">
        <f t="shared" si="432"/>
        <v>1</v>
      </c>
      <c r="AE1120" s="12" t="b">
        <f t="shared" si="433"/>
        <v>1</v>
      </c>
      <c r="AF1120" s="12" t="b">
        <f t="shared" si="434"/>
        <v>1</v>
      </c>
    </row>
    <row r="1121" spans="1:32" s="12" customFormat="1" ht="15.75" customHeight="1">
      <c r="A1121" s="285"/>
      <c r="B1121" s="32" t="s">
        <v>880</v>
      </c>
      <c r="C1121" s="33" t="s">
        <v>19</v>
      </c>
      <c r="D1121" s="34" t="s">
        <v>69</v>
      </c>
      <c r="E1121" s="34" t="s">
        <v>2</v>
      </c>
      <c r="F1121" s="34" t="s">
        <v>223</v>
      </c>
      <c r="G1121" s="34" t="s">
        <v>90</v>
      </c>
      <c r="H1121" s="35">
        <f>H1122</f>
        <v>3821.9700000000003</v>
      </c>
      <c r="I1121" s="35">
        <f t="shared" ref="H1121:J1124" si="451">I1122</f>
        <v>3821.9700000000003</v>
      </c>
      <c r="J1121" s="35">
        <f t="shared" si="451"/>
        <v>3821.9700000000003</v>
      </c>
      <c r="K1121" s="35">
        <v>3821.9700000000003</v>
      </c>
      <c r="L1121" s="35">
        <v>3821.9700000000003</v>
      </c>
      <c r="M1121" s="35">
        <v>3821.9700000000003</v>
      </c>
      <c r="N1121" s="35"/>
      <c r="O1121" s="35">
        <v>3790.94</v>
      </c>
      <c r="P1121" s="35">
        <v>3790.94</v>
      </c>
      <c r="Q1121" s="35">
        <v>3790.94</v>
      </c>
      <c r="R1121" s="472">
        <f t="shared" si="448"/>
        <v>31.0300000000002</v>
      </c>
      <c r="S1121" s="472">
        <f t="shared" si="449"/>
        <v>31.0300000000002</v>
      </c>
      <c r="T1121" s="472">
        <f t="shared" si="450"/>
        <v>31.0300000000002</v>
      </c>
      <c r="U1121" s="32" t="s">
        <v>880</v>
      </c>
      <c r="V1121" s="33" t="s">
        <v>19</v>
      </c>
      <c r="W1121" s="34" t="s">
        <v>69</v>
      </c>
      <c r="X1121" s="34" t="s">
        <v>2</v>
      </c>
      <c r="Y1121" s="34" t="s">
        <v>223</v>
      </c>
      <c r="Z1121" s="34" t="s">
        <v>90</v>
      </c>
      <c r="AA1121" s="12" t="b">
        <f t="shared" si="429"/>
        <v>1</v>
      </c>
      <c r="AB1121" s="12" t="b">
        <f t="shared" si="430"/>
        <v>1</v>
      </c>
      <c r="AC1121" s="12" t="b">
        <f t="shared" si="431"/>
        <v>1</v>
      </c>
      <c r="AD1121" s="12" t="b">
        <f t="shared" si="432"/>
        <v>1</v>
      </c>
      <c r="AE1121" s="12" t="b">
        <f t="shared" si="433"/>
        <v>1</v>
      </c>
      <c r="AF1121" s="12" t="b">
        <f t="shared" si="434"/>
        <v>1</v>
      </c>
    </row>
    <row r="1122" spans="1:32" s="12" customFormat="1" ht="15.75" customHeight="1">
      <c r="A1122" s="285"/>
      <c r="B1122" s="23" t="s">
        <v>1166</v>
      </c>
      <c r="C1122" s="37" t="s">
        <v>19</v>
      </c>
      <c r="D1122" s="37" t="s">
        <v>69</v>
      </c>
      <c r="E1122" s="37" t="s">
        <v>2</v>
      </c>
      <c r="F1122" s="37" t="s">
        <v>296</v>
      </c>
      <c r="G1122" s="37" t="s">
        <v>90</v>
      </c>
      <c r="H1122" s="183">
        <f t="shared" si="451"/>
        <v>3821.9700000000003</v>
      </c>
      <c r="I1122" s="183">
        <f t="shared" si="451"/>
        <v>3821.9700000000003</v>
      </c>
      <c r="J1122" s="183">
        <f t="shared" si="451"/>
        <v>3821.9700000000003</v>
      </c>
      <c r="K1122" s="183">
        <v>3821.9700000000003</v>
      </c>
      <c r="L1122" s="183">
        <v>3821.9700000000003</v>
      </c>
      <c r="M1122" s="183">
        <v>3821.9700000000003</v>
      </c>
      <c r="N1122" s="183"/>
      <c r="O1122" s="183">
        <v>3790.94</v>
      </c>
      <c r="P1122" s="183">
        <v>3790.94</v>
      </c>
      <c r="Q1122" s="183">
        <v>3790.94</v>
      </c>
      <c r="R1122" s="472">
        <f t="shared" si="448"/>
        <v>31.0300000000002</v>
      </c>
      <c r="S1122" s="472">
        <f t="shared" si="449"/>
        <v>31.0300000000002</v>
      </c>
      <c r="T1122" s="472">
        <f t="shared" si="450"/>
        <v>31.0300000000002</v>
      </c>
      <c r="U1122" s="23" t="s">
        <v>1166</v>
      </c>
      <c r="V1122" s="37" t="s">
        <v>19</v>
      </c>
      <c r="W1122" s="37" t="s">
        <v>69</v>
      </c>
      <c r="X1122" s="37" t="s">
        <v>2</v>
      </c>
      <c r="Y1122" s="37" t="s">
        <v>296</v>
      </c>
      <c r="Z1122" s="37" t="s">
        <v>90</v>
      </c>
      <c r="AA1122" s="12" t="b">
        <f t="shared" ref="AA1122:AA1165" si="452">B1122=U1122</f>
        <v>1</v>
      </c>
      <c r="AB1122" s="12" t="b">
        <f t="shared" ref="AB1122:AB1165" si="453">C1122=V1122</f>
        <v>1</v>
      </c>
      <c r="AC1122" s="12" t="b">
        <f t="shared" ref="AC1122:AC1165" si="454">D1122=W1122</f>
        <v>1</v>
      </c>
      <c r="AD1122" s="12" t="b">
        <f t="shared" ref="AD1122:AD1165" si="455">E1122=X1122</f>
        <v>1</v>
      </c>
      <c r="AE1122" s="12" t="b">
        <f t="shared" ref="AE1122:AE1165" si="456">F1122=Y1122</f>
        <v>1</v>
      </c>
      <c r="AF1122" s="12" t="b">
        <f t="shared" ref="AF1122:AF1165" si="457">G1122=Z1122</f>
        <v>1</v>
      </c>
    </row>
    <row r="1123" spans="1:32" s="12" customFormat="1" ht="15.75" customHeight="1">
      <c r="A1123" s="285"/>
      <c r="B1123" s="182" t="s">
        <v>836</v>
      </c>
      <c r="C1123" s="37" t="s">
        <v>19</v>
      </c>
      <c r="D1123" s="37" t="s">
        <v>69</v>
      </c>
      <c r="E1123" s="37" t="s">
        <v>2</v>
      </c>
      <c r="F1123" s="37" t="s">
        <v>404</v>
      </c>
      <c r="G1123" s="37" t="s">
        <v>90</v>
      </c>
      <c r="H1123" s="183">
        <f t="shared" si="451"/>
        <v>3821.9700000000003</v>
      </c>
      <c r="I1123" s="183">
        <f t="shared" si="451"/>
        <v>3821.9700000000003</v>
      </c>
      <c r="J1123" s="183">
        <f t="shared" si="451"/>
        <v>3821.9700000000003</v>
      </c>
      <c r="K1123" s="183">
        <v>3821.9700000000003</v>
      </c>
      <c r="L1123" s="183">
        <v>3821.9700000000003</v>
      </c>
      <c r="M1123" s="183">
        <v>3821.9700000000003</v>
      </c>
      <c r="N1123" s="183"/>
      <c r="O1123" s="183">
        <v>3790.94</v>
      </c>
      <c r="P1123" s="183">
        <v>3790.94</v>
      </c>
      <c r="Q1123" s="183">
        <v>3790.94</v>
      </c>
      <c r="R1123" s="472">
        <f t="shared" si="448"/>
        <v>31.0300000000002</v>
      </c>
      <c r="S1123" s="472">
        <f t="shared" si="449"/>
        <v>31.0300000000002</v>
      </c>
      <c r="T1123" s="472">
        <f t="shared" si="450"/>
        <v>31.0300000000002</v>
      </c>
      <c r="U1123" s="182" t="s">
        <v>836</v>
      </c>
      <c r="V1123" s="37" t="s">
        <v>19</v>
      </c>
      <c r="W1123" s="37" t="s">
        <v>69</v>
      </c>
      <c r="X1123" s="37" t="s">
        <v>2</v>
      </c>
      <c r="Y1123" s="37" t="s">
        <v>404</v>
      </c>
      <c r="Z1123" s="37" t="s">
        <v>90</v>
      </c>
      <c r="AA1123" s="12" t="b">
        <f t="shared" si="452"/>
        <v>1</v>
      </c>
      <c r="AB1123" s="12" t="b">
        <f t="shared" si="453"/>
        <v>1</v>
      </c>
      <c r="AC1123" s="12" t="b">
        <f t="shared" si="454"/>
        <v>1</v>
      </c>
      <c r="AD1123" s="12" t="b">
        <f t="shared" si="455"/>
        <v>1</v>
      </c>
      <c r="AE1123" s="12" t="b">
        <f t="shared" si="456"/>
        <v>1</v>
      </c>
      <c r="AF1123" s="12" t="b">
        <f t="shared" si="457"/>
        <v>1</v>
      </c>
    </row>
    <row r="1124" spans="1:32" s="12" customFormat="1" ht="15.75" customHeight="1">
      <c r="A1124" s="285"/>
      <c r="B1124" s="178" t="s">
        <v>405</v>
      </c>
      <c r="C1124" s="37" t="s">
        <v>19</v>
      </c>
      <c r="D1124" s="37" t="s">
        <v>69</v>
      </c>
      <c r="E1124" s="37" t="s">
        <v>2</v>
      </c>
      <c r="F1124" s="37" t="s">
        <v>555</v>
      </c>
      <c r="G1124" s="37" t="s">
        <v>90</v>
      </c>
      <c r="H1124" s="183">
        <f t="shared" si="451"/>
        <v>3821.9700000000003</v>
      </c>
      <c r="I1124" s="183">
        <f t="shared" si="451"/>
        <v>3821.9700000000003</v>
      </c>
      <c r="J1124" s="183">
        <f t="shared" si="451"/>
        <v>3821.9700000000003</v>
      </c>
      <c r="K1124" s="183">
        <v>3821.9700000000003</v>
      </c>
      <c r="L1124" s="183">
        <v>3821.9700000000003</v>
      </c>
      <c r="M1124" s="183">
        <v>3821.9700000000003</v>
      </c>
      <c r="N1124" s="183"/>
      <c r="O1124" s="183">
        <v>3790.94</v>
      </c>
      <c r="P1124" s="183">
        <v>3790.94</v>
      </c>
      <c r="Q1124" s="183">
        <v>3790.94</v>
      </c>
      <c r="R1124" s="472">
        <f t="shared" si="448"/>
        <v>31.0300000000002</v>
      </c>
      <c r="S1124" s="472">
        <f t="shared" si="449"/>
        <v>31.0300000000002</v>
      </c>
      <c r="T1124" s="472">
        <f t="shared" si="450"/>
        <v>31.0300000000002</v>
      </c>
      <c r="U1124" s="178" t="s">
        <v>405</v>
      </c>
      <c r="V1124" s="37" t="s">
        <v>19</v>
      </c>
      <c r="W1124" s="37" t="s">
        <v>69</v>
      </c>
      <c r="X1124" s="37" t="s">
        <v>2</v>
      </c>
      <c r="Y1124" s="37" t="s">
        <v>555</v>
      </c>
      <c r="Z1124" s="37" t="s">
        <v>90</v>
      </c>
      <c r="AA1124" s="12" t="b">
        <f t="shared" si="452"/>
        <v>1</v>
      </c>
      <c r="AB1124" s="12" t="b">
        <f t="shared" si="453"/>
        <v>1</v>
      </c>
      <c r="AC1124" s="12" t="b">
        <f t="shared" si="454"/>
        <v>1</v>
      </c>
      <c r="AD1124" s="12" t="b">
        <f t="shared" si="455"/>
        <v>1</v>
      </c>
      <c r="AE1124" s="12" t="b">
        <f t="shared" si="456"/>
        <v>1</v>
      </c>
      <c r="AF1124" s="12" t="b">
        <f t="shared" si="457"/>
        <v>1</v>
      </c>
    </row>
    <row r="1125" spans="1:32" s="12" customFormat="1" ht="15.75" customHeight="1">
      <c r="A1125" s="285"/>
      <c r="B1125" s="182" t="s">
        <v>254</v>
      </c>
      <c r="C1125" s="37" t="s">
        <v>19</v>
      </c>
      <c r="D1125" s="37" t="s">
        <v>69</v>
      </c>
      <c r="E1125" s="37" t="s">
        <v>2</v>
      </c>
      <c r="F1125" s="37" t="s">
        <v>566</v>
      </c>
      <c r="G1125" s="37" t="s">
        <v>90</v>
      </c>
      <c r="H1125" s="183">
        <f>H1126</f>
        <v>3821.9700000000003</v>
      </c>
      <c r="I1125" s="183">
        <f>I1126</f>
        <v>3821.9700000000003</v>
      </c>
      <c r="J1125" s="183">
        <f>J1126</f>
        <v>3821.9700000000003</v>
      </c>
      <c r="K1125" s="183">
        <v>3821.9700000000003</v>
      </c>
      <c r="L1125" s="183">
        <v>3821.9700000000003</v>
      </c>
      <c r="M1125" s="183">
        <v>3821.9700000000003</v>
      </c>
      <c r="N1125" s="183"/>
      <c r="O1125" s="183">
        <v>3790.94</v>
      </c>
      <c r="P1125" s="183">
        <v>3790.94</v>
      </c>
      <c r="Q1125" s="183">
        <v>3790.94</v>
      </c>
      <c r="R1125" s="472">
        <f t="shared" si="448"/>
        <v>31.0300000000002</v>
      </c>
      <c r="S1125" s="472">
        <f t="shared" si="449"/>
        <v>31.0300000000002</v>
      </c>
      <c r="T1125" s="472">
        <f t="shared" si="450"/>
        <v>31.0300000000002</v>
      </c>
      <c r="U1125" s="182" t="s">
        <v>254</v>
      </c>
      <c r="V1125" s="37" t="s">
        <v>19</v>
      </c>
      <c r="W1125" s="37" t="s">
        <v>69</v>
      </c>
      <c r="X1125" s="37" t="s">
        <v>2</v>
      </c>
      <c r="Y1125" s="37" t="s">
        <v>566</v>
      </c>
      <c r="Z1125" s="37" t="s">
        <v>90</v>
      </c>
      <c r="AA1125" s="12" t="b">
        <f t="shared" si="452"/>
        <v>1</v>
      </c>
      <c r="AB1125" s="12" t="b">
        <f t="shared" si="453"/>
        <v>1</v>
      </c>
      <c r="AC1125" s="12" t="b">
        <f t="shared" si="454"/>
        <v>1</v>
      </c>
      <c r="AD1125" s="12" t="b">
        <f t="shared" si="455"/>
        <v>1</v>
      </c>
      <c r="AE1125" s="12" t="b">
        <f t="shared" si="456"/>
        <v>1</v>
      </c>
      <c r="AF1125" s="12" t="b">
        <f t="shared" si="457"/>
        <v>1</v>
      </c>
    </row>
    <row r="1126" spans="1:32" s="12" customFormat="1" ht="15.75" customHeight="1">
      <c r="A1126" s="285"/>
      <c r="B1126" s="23" t="s">
        <v>132</v>
      </c>
      <c r="C1126" s="37" t="s">
        <v>19</v>
      </c>
      <c r="D1126" s="37" t="s">
        <v>69</v>
      </c>
      <c r="E1126" s="37" t="s">
        <v>2</v>
      </c>
      <c r="F1126" s="37" t="s">
        <v>566</v>
      </c>
      <c r="G1126" s="37" t="s">
        <v>171</v>
      </c>
      <c r="H1126" s="69">
        <f>3507.19+283.75+31.03</f>
        <v>3821.9700000000003</v>
      </c>
      <c r="I1126" s="69">
        <f t="shared" ref="I1126:J1126" si="458">3507.19+283.75+31.03</f>
        <v>3821.9700000000003</v>
      </c>
      <c r="J1126" s="69">
        <f t="shared" si="458"/>
        <v>3821.9700000000003</v>
      </c>
      <c r="K1126" s="69">
        <v>3821.9700000000003</v>
      </c>
      <c r="L1126" s="69">
        <v>3821.9700000000003</v>
      </c>
      <c r="M1126" s="69">
        <v>3821.9700000000003</v>
      </c>
      <c r="N1126" s="69"/>
      <c r="O1126" s="69">
        <v>3790.94</v>
      </c>
      <c r="P1126" s="69">
        <v>3790.94</v>
      </c>
      <c r="Q1126" s="69">
        <v>3790.94</v>
      </c>
      <c r="R1126" s="472">
        <f t="shared" si="448"/>
        <v>31.0300000000002</v>
      </c>
      <c r="S1126" s="472">
        <f t="shared" si="449"/>
        <v>31.0300000000002</v>
      </c>
      <c r="T1126" s="472">
        <f t="shared" si="450"/>
        <v>31.0300000000002</v>
      </c>
      <c r="U1126" s="23" t="s">
        <v>132</v>
      </c>
      <c r="V1126" s="37" t="s">
        <v>19</v>
      </c>
      <c r="W1126" s="37" t="s">
        <v>69</v>
      </c>
      <c r="X1126" s="37" t="s">
        <v>2</v>
      </c>
      <c r="Y1126" s="37" t="s">
        <v>566</v>
      </c>
      <c r="Z1126" s="37" t="s">
        <v>171</v>
      </c>
      <c r="AA1126" s="12" t="b">
        <f t="shared" si="452"/>
        <v>1</v>
      </c>
      <c r="AB1126" s="12" t="b">
        <f t="shared" si="453"/>
        <v>1</v>
      </c>
      <c r="AC1126" s="12" t="b">
        <f t="shared" si="454"/>
        <v>1</v>
      </c>
      <c r="AD1126" s="12" t="b">
        <f t="shared" si="455"/>
        <v>1</v>
      </c>
      <c r="AE1126" s="12" t="b">
        <f t="shared" si="456"/>
        <v>1</v>
      </c>
      <c r="AF1126" s="12" t="b">
        <f t="shared" si="457"/>
        <v>1</v>
      </c>
    </row>
    <row r="1127" spans="1:32" s="12" customFormat="1" ht="15.75" customHeight="1">
      <c r="A1127" s="285"/>
      <c r="B1127" s="32" t="s">
        <v>109</v>
      </c>
      <c r="C1127" s="33" t="s">
        <v>19</v>
      </c>
      <c r="D1127" s="34" t="s">
        <v>69</v>
      </c>
      <c r="E1127" s="34" t="s">
        <v>104</v>
      </c>
      <c r="F1127" s="34" t="s">
        <v>223</v>
      </c>
      <c r="G1127" s="34" t="s">
        <v>90</v>
      </c>
      <c r="H1127" s="35">
        <f t="shared" ref="H1127:J1131" si="459">H1128</f>
        <v>21135.38</v>
      </c>
      <c r="I1127" s="35">
        <f t="shared" si="459"/>
        <v>21140.34</v>
      </c>
      <c r="J1127" s="35">
        <f t="shared" si="459"/>
        <v>21145.48</v>
      </c>
      <c r="K1127" s="35">
        <v>21135.38</v>
      </c>
      <c r="L1127" s="35">
        <v>21140.34</v>
      </c>
      <c r="M1127" s="35">
        <v>21145.48</v>
      </c>
      <c r="N1127" s="35"/>
      <c r="O1127" s="35">
        <v>21063.58</v>
      </c>
      <c r="P1127" s="35">
        <v>21068.54</v>
      </c>
      <c r="Q1127" s="35">
        <v>21073.68</v>
      </c>
      <c r="R1127" s="472">
        <f t="shared" si="448"/>
        <v>71.799999999999272</v>
      </c>
      <c r="S1127" s="472">
        <f t="shared" si="449"/>
        <v>71.799999999999272</v>
      </c>
      <c r="T1127" s="472">
        <f t="shared" si="450"/>
        <v>71.799999999999272</v>
      </c>
      <c r="U1127" s="32" t="s">
        <v>109</v>
      </c>
      <c r="V1127" s="33" t="s">
        <v>19</v>
      </c>
      <c r="W1127" s="34" t="s">
        <v>69</v>
      </c>
      <c r="X1127" s="34" t="s">
        <v>104</v>
      </c>
      <c r="Y1127" s="34" t="s">
        <v>223</v>
      </c>
      <c r="Z1127" s="34" t="s">
        <v>90</v>
      </c>
      <c r="AA1127" s="12" t="b">
        <f t="shared" si="452"/>
        <v>1</v>
      </c>
      <c r="AB1127" s="12" t="b">
        <f t="shared" si="453"/>
        <v>1</v>
      </c>
      <c r="AC1127" s="12" t="b">
        <f t="shared" si="454"/>
        <v>1</v>
      </c>
      <c r="AD1127" s="12" t="b">
        <f t="shared" si="455"/>
        <v>1</v>
      </c>
      <c r="AE1127" s="12" t="b">
        <f t="shared" si="456"/>
        <v>1</v>
      </c>
      <c r="AF1127" s="12" t="b">
        <f t="shared" si="457"/>
        <v>1</v>
      </c>
    </row>
    <row r="1128" spans="1:32" s="12" customFormat="1" ht="15.75" customHeight="1">
      <c r="A1128" s="285"/>
      <c r="B1128" s="23" t="s">
        <v>1166</v>
      </c>
      <c r="C1128" s="37" t="s">
        <v>19</v>
      </c>
      <c r="D1128" s="37" t="s">
        <v>69</v>
      </c>
      <c r="E1128" s="37" t="s">
        <v>104</v>
      </c>
      <c r="F1128" s="37" t="s">
        <v>296</v>
      </c>
      <c r="G1128" s="37" t="s">
        <v>90</v>
      </c>
      <c r="H1128" s="183">
        <f t="shared" si="459"/>
        <v>21135.38</v>
      </c>
      <c r="I1128" s="183">
        <f t="shared" si="459"/>
        <v>21140.34</v>
      </c>
      <c r="J1128" s="183">
        <f t="shared" si="459"/>
        <v>21145.48</v>
      </c>
      <c r="K1128" s="183">
        <v>21135.38</v>
      </c>
      <c r="L1128" s="183">
        <v>21140.34</v>
      </c>
      <c r="M1128" s="183">
        <v>21145.48</v>
      </c>
      <c r="N1128" s="183"/>
      <c r="O1128" s="183">
        <v>21063.58</v>
      </c>
      <c r="P1128" s="183">
        <v>21068.54</v>
      </c>
      <c r="Q1128" s="183">
        <v>21073.68</v>
      </c>
      <c r="R1128" s="472">
        <f t="shared" si="448"/>
        <v>71.799999999999272</v>
      </c>
      <c r="S1128" s="472">
        <f t="shared" si="449"/>
        <v>71.799999999999272</v>
      </c>
      <c r="T1128" s="472">
        <f t="shared" si="450"/>
        <v>71.799999999999272</v>
      </c>
      <c r="U1128" s="23" t="s">
        <v>1166</v>
      </c>
      <c r="V1128" s="37" t="s">
        <v>19</v>
      </c>
      <c r="W1128" s="37" t="s">
        <v>69</v>
      </c>
      <c r="X1128" s="37" t="s">
        <v>104</v>
      </c>
      <c r="Y1128" s="37" t="s">
        <v>296</v>
      </c>
      <c r="Z1128" s="37" t="s">
        <v>90</v>
      </c>
      <c r="AA1128" s="12" t="b">
        <f t="shared" si="452"/>
        <v>1</v>
      </c>
      <c r="AB1128" s="12" t="b">
        <f t="shared" si="453"/>
        <v>1</v>
      </c>
      <c r="AC1128" s="12" t="b">
        <f t="shared" si="454"/>
        <v>1</v>
      </c>
      <c r="AD1128" s="12" t="b">
        <f t="shared" si="455"/>
        <v>1</v>
      </c>
      <c r="AE1128" s="12" t="b">
        <f t="shared" si="456"/>
        <v>1</v>
      </c>
      <c r="AF1128" s="12" t="b">
        <f t="shared" si="457"/>
        <v>1</v>
      </c>
    </row>
    <row r="1129" spans="1:32" s="12" customFormat="1" ht="15.75" customHeight="1">
      <c r="A1129" s="285"/>
      <c r="B1129" s="182" t="s">
        <v>836</v>
      </c>
      <c r="C1129" s="37" t="s">
        <v>19</v>
      </c>
      <c r="D1129" s="37" t="s">
        <v>69</v>
      </c>
      <c r="E1129" s="37" t="s">
        <v>104</v>
      </c>
      <c r="F1129" s="37" t="s">
        <v>404</v>
      </c>
      <c r="G1129" s="37" t="s">
        <v>90</v>
      </c>
      <c r="H1129" s="183">
        <f t="shared" si="459"/>
        <v>21135.38</v>
      </c>
      <c r="I1129" s="183">
        <f t="shared" si="459"/>
        <v>21140.34</v>
      </c>
      <c r="J1129" s="183">
        <f t="shared" si="459"/>
        <v>21145.48</v>
      </c>
      <c r="K1129" s="183">
        <v>21135.38</v>
      </c>
      <c r="L1129" s="183">
        <v>21140.34</v>
      </c>
      <c r="M1129" s="183">
        <v>21145.48</v>
      </c>
      <c r="N1129" s="183"/>
      <c r="O1129" s="183">
        <v>21063.58</v>
      </c>
      <c r="P1129" s="183">
        <v>21068.54</v>
      </c>
      <c r="Q1129" s="183">
        <v>21073.68</v>
      </c>
      <c r="R1129" s="472">
        <f t="shared" si="448"/>
        <v>71.799999999999272</v>
      </c>
      <c r="S1129" s="472">
        <f t="shared" si="449"/>
        <v>71.799999999999272</v>
      </c>
      <c r="T1129" s="472">
        <f t="shared" si="450"/>
        <v>71.799999999999272</v>
      </c>
      <c r="U1129" s="182" t="s">
        <v>836</v>
      </c>
      <c r="V1129" s="37" t="s">
        <v>19</v>
      </c>
      <c r="W1129" s="37" t="s">
        <v>69</v>
      </c>
      <c r="X1129" s="37" t="s">
        <v>104</v>
      </c>
      <c r="Y1129" s="37" t="s">
        <v>404</v>
      </c>
      <c r="Z1129" s="37" t="s">
        <v>90</v>
      </c>
      <c r="AA1129" s="12" t="b">
        <f t="shared" si="452"/>
        <v>1</v>
      </c>
      <c r="AB1129" s="12" t="b">
        <f t="shared" si="453"/>
        <v>1</v>
      </c>
      <c r="AC1129" s="12" t="b">
        <f t="shared" si="454"/>
        <v>1</v>
      </c>
      <c r="AD1129" s="12" t="b">
        <f t="shared" si="455"/>
        <v>1</v>
      </c>
      <c r="AE1129" s="12" t="b">
        <f t="shared" si="456"/>
        <v>1</v>
      </c>
      <c r="AF1129" s="12" t="b">
        <f t="shared" si="457"/>
        <v>1</v>
      </c>
    </row>
    <row r="1130" spans="1:32" s="12" customFormat="1" ht="15.75" customHeight="1">
      <c r="A1130" s="285"/>
      <c r="B1130" s="182" t="s">
        <v>558</v>
      </c>
      <c r="C1130" s="37" t="s">
        <v>19</v>
      </c>
      <c r="D1130" s="37" t="s">
        <v>69</v>
      </c>
      <c r="E1130" s="37" t="s">
        <v>104</v>
      </c>
      <c r="F1130" s="37" t="s">
        <v>406</v>
      </c>
      <c r="G1130" s="37" t="s">
        <v>90</v>
      </c>
      <c r="H1130" s="183">
        <f>H1131</f>
        <v>21135.38</v>
      </c>
      <c r="I1130" s="183">
        <f t="shared" si="459"/>
        <v>21140.34</v>
      </c>
      <c r="J1130" s="183">
        <f t="shared" si="459"/>
        <v>21145.48</v>
      </c>
      <c r="K1130" s="183">
        <v>21135.38</v>
      </c>
      <c r="L1130" s="183">
        <v>21140.34</v>
      </c>
      <c r="M1130" s="183">
        <v>21145.48</v>
      </c>
      <c r="N1130" s="183"/>
      <c r="O1130" s="183">
        <v>21063.58</v>
      </c>
      <c r="P1130" s="183">
        <v>21068.54</v>
      </c>
      <c r="Q1130" s="183">
        <v>21073.68</v>
      </c>
      <c r="R1130" s="472">
        <f t="shared" si="448"/>
        <v>71.799999999999272</v>
      </c>
      <c r="S1130" s="472">
        <f t="shared" si="449"/>
        <v>71.799999999999272</v>
      </c>
      <c r="T1130" s="472">
        <f t="shared" si="450"/>
        <v>71.799999999999272</v>
      </c>
      <c r="U1130" s="182" t="s">
        <v>558</v>
      </c>
      <c r="V1130" s="37" t="s">
        <v>19</v>
      </c>
      <c r="W1130" s="37" t="s">
        <v>69</v>
      </c>
      <c r="X1130" s="37" t="s">
        <v>104</v>
      </c>
      <c r="Y1130" s="37" t="s">
        <v>406</v>
      </c>
      <c r="Z1130" s="37" t="s">
        <v>90</v>
      </c>
      <c r="AA1130" s="12" t="b">
        <f t="shared" si="452"/>
        <v>1</v>
      </c>
      <c r="AB1130" s="12" t="b">
        <f t="shared" si="453"/>
        <v>1</v>
      </c>
      <c r="AC1130" s="12" t="b">
        <f t="shared" si="454"/>
        <v>1</v>
      </c>
      <c r="AD1130" s="12" t="b">
        <f t="shared" si="455"/>
        <v>1</v>
      </c>
      <c r="AE1130" s="12" t="b">
        <f t="shared" si="456"/>
        <v>1</v>
      </c>
      <c r="AF1130" s="12" t="b">
        <f t="shared" si="457"/>
        <v>1</v>
      </c>
    </row>
    <row r="1131" spans="1:32" s="12" customFormat="1" ht="15.75" customHeight="1">
      <c r="A1131" s="285"/>
      <c r="B1131" s="182" t="s">
        <v>254</v>
      </c>
      <c r="C1131" s="37" t="s">
        <v>19</v>
      </c>
      <c r="D1131" s="37" t="s">
        <v>69</v>
      </c>
      <c r="E1131" s="37" t="s">
        <v>104</v>
      </c>
      <c r="F1131" s="37" t="s">
        <v>450</v>
      </c>
      <c r="G1131" s="37" t="s">
        <v>90</v>
      </c>
      <c r="H1131" s="183">
        <f t="shared" si="459"/>
        <v>21135.38</v>
      </c>
      <c r="I1131" s="183">
        <f t="shared" si="459"/>
        <v>21140.34</v>
      </c>
      <c r="J1131" s="183">
        <f t="shared" si="459"/>
        <v>21145.48</v>
      </c>
      <c r="K1131" s="183">
        <v>21135.38</v>
      </c>
      <c r="L1131" s="183">
        <v>21140.34</v>
      </c>
      <c r="M1131" s="183">
        <v>21145.48</v>
      </c>
      <c r="N1131" s="183"/>
      <c r="O1131" s="183">
        <v>21063.58</v>
      </c>
      <c r="P1131" s="183">
        <v>21068.54</v>
      </c>
      <c r="Q1131" s="183">
        <v>21073.68</v>
      </c>
      <c r="R1131" s="472">
        <f t="shared" si="448"/>
        <v>71.799999999999272</v>
      </c>
      <c r="S1131" s="472">
        <f t="shared" si="449"/>
        <v>71.799999999999272</v>
      </c>
      <c r="T1131" s="472">
        <f t="shared" si="450"/>
        <v>71.799999999999272</v>
      </c>
      <c r="U1131" s="182" t="s">
        <v>254</v>
      </c>
      <c r="V1131" s="37" t="s">
        <v>19</v>
      </c>
      <c r="W1131" s="37" t="s">
        <v>69</v>
      </c>
      <c r="X1131" s="37" t="s">
        <v>104</v>
      </c>
      <c r="Y1131" s="37" t="s">
        <v>450</v>
      </c>
      <c r="Z1131" s="37" t="s">
        <v>90</v>
      </c>
      <c r="AA1131" s="12" t="b">
        <f t="shared" si="452"/>
        <v>1</v>
      </c>
      <c r="AB1131" s="12" t="b">
        <f t="shared" si="453"/>
        <v>1</v>
      </c>
      <c r="AC1131" s="12" t="b">
        <f t="shared" si="454"/>
        <v>1</v>
      </c>
      <c r="AD1131" s="12" t="b">
        <f t="shared" si="455"/>
        <v>1</v>
      </c>
      <c r="AE1131" s="12" t="b">
        <f t="shared" si="456"/>
        <v>1</v>
      </c>
      <c r="AF1131" s="12" t="b">
        <f t="shared" si="457"/>
        <v>1</v>
      </c>
    </row>
    <row r="1132" spans="1:32" s="12" customFormat="1" ht="15.75" customHeight="1">
      <c r="A1132" s="285"/>
      <c r="B1132" s="65" t="s">
        <v>132</v>
      </c>
      <c r="C1132" s="57" t="s">
        <v>19</v>
      </c>
      <c r="D1132" s="57" t="s">
        <v>69</v>
      </c>
      <c r="E1132" s="57" t="s">
        <v>104</v>
      </c>
      <c r="F1132" s="57" t="s">
        <v>450</v>
      </c>
      <c r="G1132" s="57" t="s">
        <v>171</v>
      </c>
      <c r="H1132" s="58">
        <f>21063.58+71.8</f>
        <v>21135.38</v>
      </c>
      <c r="I1132" s="58">
        <f>21068.54+71.8</f>
        <v>21140.34</v>
      </c>
      <c r="J1132" s="58">
        <f>21073.68+71.8</f>
        <v>21145.48</v>
      </c>
      <c r="K1132" s="58">
        <v>21135.38</v>
      </c>
      <c r="L1132" s="58">
        <v>21140.34</v>
      </c>
      <c r="M1132" s="58">
        <v>21145.48</v>
      </c>
      <c r="N1132" s="58"/>
      <c r="O1132" s="58">
        <v>21063.58</v>
      </c>
      <c r="P1132" s="58">
        <v>21068.54</v>
      </c>
      <c r="Q1132" s="58">
        <v>21073.68</v>
      </c>
      <c r="R1132" s="472">
        <f t="shared" si="448"/>
        <v>71.799999999999272</v>
      </c>
      <c r="S1132" s="472">
        <f t="shared" si="449"/>
        <v>71.799999999999272</v>
      </c>
      <c r="T1132" s="472">
        <f t="shared" si="450"/>
        <v>71.799999999999272</v>
      </c>
      <c r="U1132" s="65" t="s">
        <v>132</v>
      </c>
      <c r="V1132" s="57" t="s">
        <v>19</v>
      </c>
      <c r="W1132" s="57" t="s">
        <v>69</v>
      </c>
      <c r="X1132" s="57" t="s">
        <v>104</v>
      </c>
      <c r="Y1132" s="57" t="s">
        <v>450</v>
      </c>
      <c r="Z1132" s="57" t="s">
        <v>171</v>
      </c>
      <c r="AA1132" s="12" t="b">
        <f t="shared" si="452"/>
        <v>1</v>
      </c>
      <c r="AB1132" s="12" t="b">
        <f t="shared" si="453"/>
        <v>1</v>
      </c>
      <c r="AC1132" s="12" t="b">
        <f t="shared" si="454"/>
        <v>1</v>
      </c>
      <c r="AD1132" s="12" t="b">
        <f t="shared" si="455"/>
        <v>1</v>
      </c>
      <c r="AE1132" s="12" t="b">
        <f t="shared" si="456"/>
        <v>1</v>
      </c>
      <c r="AF1132" s="12" t="b">
        <f t="shared" si="457"/>
        <v>1</v>
      </c>
    </row>
    <row r="1133" spans="1:32" s="12" customFormat="1" ht="15.75" customHeight="1">
      <c r="A1133" s="285"/>
      <c r="B1133" s="210" t="s">
        <v>125</v>
      </c>
      <c r="C1133" s="211" t="s">
        <v>19</v>
      </c>
      <c r="D1133" s="212" t="s">
        <v>69</v>
      </c>
      <c r="E1133" s="212" t="s">
        <v>33</v>
      </c>
      <c r="F1133" s="212" t="s">
        <v>223</v>
      </c>
      <c r="G1133" s="212" t="s">
        <v>90</v>
      </c>
      <c r="H1133" s="213">
        <f>H1134+H1139+H1167</f>
        <v>1198333.4399999999</v>
      </c>
      <c r="I1133" s="213">
        <f>I1134+I1139+I1167</f>
        <v>179436.14</v>
      </c>
      <c r="J1133" s="213">
        <f>J1134+J1139+J1167</f>
        <v>179620.05000000002</v>
      </c>
      <c r="K1133" s="213">
        <v>1257736.95</v>
      </c>
      <c r="L1133" s="213">
        <v>179436.14</v>
      </c>
      <c r="M1133" s="213">
        <v>179620.05000000002</v>
      </c>
      <c r="N1133" s="213"/>
      <c r="O1133" s="213">
        <v>978305.26</v>
      </c>
      <c r="P1133" s="213">
        <v>179436.14</v>
      </c>
      <c r="Q1133" s="213">
        <v>179620.05000000002</v>
      </c>
      <c r="R1133" s="472">
        <f t="shared" si="448"/>
        <v>220028.17999999993</v>
      </c>
      <c r="S1133" s="472">
        <f t="shared" si="449"/>
        <v>0</v>
      </c>
      <c r="T1133" s="472">
        <f t="shared" si="450"/>
        <v>0</v>
      </c>
      <c r="U1133" s="210" t="s">
        <v>125</v>
      </c>
      <c r="V1133" s="211" t="s">
        <v>19</v>
      </c>
      <c r="W1133" s="212" t="s">
        <v>69</v>
      </c>
      <c r="X1133" s="212" t="s">
        <v>33</v>
      </c>
      <c r="Y1133" s="212" t="s">
        <v>223</v>
      </c>
      <c r="Z1133" s="212" t="s">
        <v>90</v>
      </c>
      <c r="AA1133" s="12" t="b">
        <f t="shared" si="452"/>
        <v>1</v>
      </c>
      <c r="AB1133" s="12" t="b">
        <f t="shared" si="453"/>
        <v>1</v>
      </c>
      <c r="AC1133" s="12" t="b">
        <f t="shared" si="454"/>
        <v>1</v>
      </c>
      <c r="AD1133" s="12" t="b">
        <f t="shared" si="455"/>
        <v>1</v>
      </c>
      <c r="AE1133" s="12" t="b">
        <f t="shared" si="456"/>
        <v>1</v>
      </c>
      <c r="AF1133" s="12" t="b">
        <f t="shared" si="457"/>
        <v>1</v>
      </c>
    </row>
    <row r="1134" spans="1:32" s="12" customFormat="1" ht="15.75" customHeight="1">
      <c r="A1134" s="285"/>
      <c r="B1134" s="182" t="s">
        <v>865</v>
      </c>
      <c r="C1134" s="36" t="s">
        <v>19</v>
      </c>
      <c r="D1134" s="36" t="s">
        <v>69</v>
      </c>
      <c r="E1134" s="36" t="s">
        <v>33</v>
      </c>
      <c r="F1134" s="36" t="s">
        <v>293</v>
      </c>
      <c r="G1134" s="36" t="s">
        <v>90</v>
      </c>
      <c r="H1134" s="69">
        <f t="shared" ref="H1134:J1137" si="460">H1135</f>
        <v>5251.46</v>
      </c>
      <c r="I1134" s="69">
        <f t="shared" si="460"/>
        <v>5251.46</v>
      </c>
      <c r="J1134" s="69">
        <f t="shared" si="460"/>
        <v>5251.46</v>
      </c>
      <c r="K1134" s="69">
        <v>5251.46</v>
      </c>
      <c r="L1134" s="69">
        <v>5251.46</v>
      </c>
      <c r="M1134" s="69">
        <v>5251.46</v>
      </c>
      <c r="N1134" s="69"/>
      <c r="O1134" s="69">
        <v>5251.46</v>
      </c>
      <c r="P1134" s="69">
        <v>5251.46</v>
      </c>
      <c r="Q1134" s="69">
        <v>5251.46</v>
      </c>
      <c r="R1134" s="472">
        <f t="shared" si="448"/>
        <v>0</v>
      </c>
      <c r="S1134" s="472">
        <f t="shared" si="449"/>
        <v>0</v>
      </c>
      <c r="T1134" s="472">
        <f t="shared" si="450"/>
        <v>0</v>
      </c>
      <c r="U1134" s="182" t="s">
        <v>865</v>
      </c>
      <c r="V1134" s="36" t="s">
        <v>19</v>
      </c>
      <c r="W1134" s="36" t="s">
        <v>69</v>
      </c>
      <c r="X1134" s="36" t="s">
        <v>33</v>
      </c>
      <c r="Y1134" s="36" t="s">
        <v>293</v>
      </c>
      <c r="Z1134" s="36" t="s">
        <v>90</v>
      </c>
      <c r="AA1134" s="500" t="b">
        <f t="shared" si="452"/>
        <v>1</v>
      </c>
      <c r="AB1134" s="503" t="b">
        <f t="shared" si="453"/>
        <v>1</v>
      </c>
      <c r="AC1134" s="12" t="b">
        <f t="shared" si="454"/>
        <v>1</v>
      </c>
      <c r="AD1134" s="12" t="b">
        <f t="shared" si="455"/>
        <v>1</v>
      </c>
      <c r="AE1134" s="479" t="b">
        <f t="shared" si="456"/>
        <v>1</v>
      </c>
      <c r="AF1134" s="508" t="b">
        <f t="shared" si="457"/>
        <v>1</v>
      </c>
    </row>
    <row r="1135" spans="1:32" s="12" customFormat="1" ht="15.75" customHeight="1">
      <c r="A1135" s="285"/>
      <c r="B1135" s="182" t="s">
        <v>866</v>
      </c>
      <c r="C1135" s="36" t="s">
        <v>19</v>
      </c>
      <c r="D1135" s="36" t="s">
        <v>69</v>
      </c>
      <c r="E1135" s="36" t="s">
        <v>33</v>
      </c>
      <c r="F1135" s="36" t="s">
        <v>294</v>
      </c>
      <c r="G1135" s="36" t="s">
        <v>90</v>
      </c>
      <c r="H1135" s="69">
        <f t="shared" si="460"/>
        <v>5251.46</v>
      </c>
      <c r="I1135" s="69">
        <f t="shared" si="460"/>
        <v>5251.46</v>
      </c>
      <c r="J1135" s="69">
        <f t="shared" si="460"/>
        <v>5251.46</v>
      </c>
      <c r="K1135" s="69">
        <v>5251.46</v>
      </c>
      <c r="L1135" s="69">
        <v>5251.46</v>
      </c>
      <c r="M1135" s="69">
        <v>5251.46</v>
      </c>
      <c r="N1135" s="69"/>
      <c r="O1135" s="69">
        <v>5251.46</v>
      </c>
      <c r="P1135" s="69">
        <v>5251.46</v>
      </c>
      <c r="Q1135" s="69">
        <v>5251.46</v>
      </c>
      <c r="R1135" s="472">
        <f t="shared" si="448"/>
        <v>0</v>
      </c>
      <c r="S1135" s="472">
        <f t="shared" si="449"/>
        <v>0</v>
      </c>
      <c r="T1135" s="472">
        <f t="shared" si="450"/>
        <v>0</v>
      </c>
      <c r="U1135" s="182" t="s">
        <v>866</v>
      </c>
      <c r="V1135" s="36" t="s">
        <v>19</v>
      </c>
      <c r="W1135" s="36" t="s">
        <v>69</v>
      </c>
      <c r="X1135" s="36" t="s">
        <v>33</v>
      </c>
      <c r="Y1135" s="36" t="s">
        <v>294</v>
      </c>
      <c r="Z1135" s="36" t="s">
        <v>90</v>
      </c>
      <c r="AA1135" s="500" t="b">
        <f t="shared" si="452"/>
        <v>1</v>
      </c>
      <c r="AB1135" s="503" t="b">
        <f t="shared" si="453"/>
        <v>1</v>
      </c>
      <c r="AC1135" s="12" t="b">
        <f t="shared" si="454"/>
        <v>1</v>
      </c>
      <c r="AD1135" s="12" t="b">
        <f t="shared" si="455"/>
        <v>1</v>
      </c>
      <c r="AE1135" s="479" t="b">
        <f t="shared" si="456"/>
        <v>1</v>
      </c>
      <c r="AF1135" s="508" t="b">
        <f t="shared" si="457"/>
        <v>1</v>
      </c>
    </row>
    <row r="1136" spans="1:32" s="12" customFormat="1" ht="15.75" customHeight="1">
      <c r="A1136" s="285"/>
      <c r="B1136" s="534" t="s">
        <v>1218</v>
      </c>
      <c r="C1136" s="36" t="s">
        <v>19</v>
      </c>
      <c r="D1136" s="36" t="s">
        <v>69</v>
      </c>
      <c r="E1136" s="36" t="s">
        <v>33</v>
      </c>
      <c r="F1136" s="36" t="s">
        <v>1220</v>
      </c>
      <c r="G1136" s="36" t="s">
        <v>90</v>
      </c>
      <c r="H1136" s="69">
        <f t="shared" si="460"/>
        <v>5251.46</v>
      </c>
      <c r="I1136" s="69">
        <f t="shared" si="460"/>
        <v>5251.46</v>
      </c>
      <c r="J1136" s="69">
        <f t="shared" si="460"/>
        <v>5251.46</v>
      </c>
      <c r="K1136" s="69">
        <v>5251.46</v>
      </c>
      <c r="L1136" s="69">
        <v>5251.46</v>
      </c>
      <c r="M1136" s="69">
        <v>5251.46</v>
      </c>
      <c r="N1136" s="69"/>
      <c r="O1136" s="69">
        <v>5251.46</v>
      </c>
      <c r="P1136" s="69">
        <v>5251.46</v>
      </c>
      <c r="Q1136" s="69">
        <v>5251.46</v>
      </c>
      <c r="R1136" s="472">
        <f t="shared" si="448"/>
        <v>0</v>
      </c>
      <c r="S1136" s="472">
        <f t="shared" si="449"/>
        <v>0</v>
      </c>
      <c r="T1136" s="472">
        <f t="shared" si="450"/>
        <v>0</v>
      </c>
      <c r="U1136" s="22" t="s">
        <v>869</v>
      </c>
      <c r="V1136" s="36" t="s">
        <v>19</v>
      </c>
      <c r="W1136" s="36" t="s">
        <v>69</v>
      </c>
      <c r="X1136" s="36" t="s">
        <v>33</v>
      </c>
      <c r="Y1136" s="36" t="s">
        <v>295</v>
      </c>
      <c r="Z1136" s="36" t="s">
        <v>90</v>
      </c>
      <c r="AA1136" s="500" t="b">
        <f t="shared" si="452"/>
        <v>0</v>
      </c>
      <c r="AB1136" s="503" t="b">
        <f t="shared" si="453"/>
        <v>1</v>
      </c>
      <c r="AC1136" s="12" t="b">
        <f t="shared" si="454"/>
        <v>1</v>
      </c>
      <c r="AD1136" s="12" t="b">
        <f t="shared" si="455"/>
        <v>1</v>
      </c>
      <c r="AE1136" s="479" t="b">
        <f t="shared" si="456"/>
        <v>0</v>
      </c>
      <c r="AF1136" s="508" t="b">
        <f t="shared" si="457"/>
        <v>1</v>
      </c>
    </row>
    <row r="1137" spans="1:32" s="12" customFormat="1" ht="15.75" customHeight="1">
      <c r="A1137" s="285"/>
      <c r="B1137" s="182" t="s">
        <v>1219</v>
      </c>
      <c r="C1137" s="36" t="s">
        <v>19</v>
      </c>
      <c r="D1137" s="36" t="s">
        <v>69</v>
      </c>
      <c r="E1137" s="36" t="s">
        <v>33</v>
      </c>
      <c r="F1137" s="36" t="s">
        <v>1221</v>
      </c>
      <c r="G1137" s="36" t="s">
        <v>90</v>
      </c>
      <c r="H1137" s="69">
        <f t="shared" si="460"/>
        <v>5251.46</v>
      </c>
      <c r="I1137" s="69">
        <f t="shared" si="460"/>
        <v>5251.46</v>
      </c>
      <c r="J1137" s="69">
        <f t="shared" si="460"/>
        <v>5251.46</v>
      </c>
      <c r="K1137" s="69">
        <v>5251.46</v>
      </c>
      <c r="L1137" s="69">
        <v>5251.46</v>
      </c>
      <c r="M1137" s="69">
        <v>5251.46</v>
      </c>
      <c r="N1137" s="69"/>
      <c r="O1137" s="69">
        <v>5251.46</v>
      </c>
      <c r="P1137" s="69">
        <v>5251.46</v>
      </c>
      <c r="Q1137" s="69">
        <v>5251.46</v>
      </c>
      <c r="R1137" s="472">
        <f t="shared" si="448"/>
        <v>0</v>
      </c>
      <c r="S1137" s="472">
        <f t="shared" si="449"/>
        <v>0</v>
      </c>
      <c r="T1137" s="472">
        <f t="shared" si="450"/>
        <v>0</v>
      </c>
      <c r="U1137" s="22" t="s">
        <v>870</v>
      </c>
      <c r="V1137" s="36" t="s">
        <v>19</v>
      </c>
      <c r="W1137" s="36" t="s">
        <v>69</v>
      </c>
      <c r="X1137" s="36" t="s">
        <v>33</v>
      </c>
      <c r="Y1137" s="36" t="s">
        <v>804</v>
      </c>
      <c r="Z1137" s="36" t="s">
        <v>90</v>
      </c>
      <c r="AA1137" s="500" t="b">
        <f t="shared" si="452"/>
        <v>0</v>
      </c>
      <c r="AB1137" s="503" t="b">
        <f t="shared" si="453"/>
        <v>1</v>
      </c>
      <c r="AC1137" s="12" t="b">
        <f t="shared" si="454"/>
        <v>1</v>
      </c>
      <c r="AD1137" s="12" t="b">
        <f t="shared" si="455"/>
        <v>1</v>
      </c>
      <c r="AE1137" s="479" t="b">
        <f t="shared" si="456"/>
        <v>0</v>
      </c>
      <c r="AF1137" s="508" t="b">
        <f t="shared" si="457"/>
        <v>1</v>
      </c>
    </row>
    <row r="1138" spans="1:32" s="12" customFormat="1" ht="15.75" customHeight="1">
      <c r="A1138" s="285"/>
      <c r="B1138" s="182" t="s">
        <v>145</v>
      </c>
      <c r="C1138" s="36" t="s">
        <v>19</v>
      </c>
      <c r="D1138" s="36" t="s">
        <v>69</v>
      </c>
      <c r="E1138" s="36" t="s">
        <v>33</v>
      </c>
      <c r="F1138" s="498" t="s">
        <v>1221</v>
      </c>
      <c r="G1138" s="36" t="s">
        <v>153</v>
      </c>
      <c r="H1138" s="69">
        <v>5251.46</v>
      </c>
      <c r="I1138" s="69">
        <v>5251.46</v>
      </c>
      <c r="J1138" s="69">
        <v>5251.46</v>
      </c>
      <c r="K1138" s="69">
        <v>5251.46</v>
      </c>
      <c r="L1138" s="69">
        <v>5251.46</v>
      </c>
      <c r="M1138" s="69">
        <v>5251.46</v>
      </c>
      <c r="N1138" s="69"/>
      <c r="O1138" s="69">
        <v>5251.46</v>
      </c>
      <c r="P1138" s="69">
        <v>5251.46</v>
      </c>
      <c r="Q1138" s="69">
        <v>5251.46</v>
      </c>
      <c r="R1138" s="472">
        <f t="shared" si="448"/>
        <v>0</v>
      </c>
      <c r="S1138" s="472">
        <f t="shared" si="449"/>
        <v>0</v>
      </c>
      <c r="T1138" s="472">
        <f t="shared" si="450"/>
        <v>0</v>
      </c>
      <c r="U1138" s="182" t="s">
        <v>145</v>
      </c>
      <c r="V1138" s="36" t="s">
        <v>19</v>
      </c>
      <c r="W1138" s="36" t="s">
        <v>69</v>
      </c>
      <c r="X1138" s="36" t="s">
        <v>33</v>
      </c>
      <c r="Y1138" s="36" t="s">
        <v>804</v>
      </c>
      <c r="Z1138" s="36" t="s">
        <v>153</v>
      </c>
      <c r="AA1138" s="500" t="b">
        <f t="shared" si="452"/>
        <v>1</v>
      </c>
      <c r="AB1138" s="503" t="b">
        <f t="shared" si="453"/>
        <v>1</v>
      </c>
      <c r="AC1138" s="12" t="b">
        <f t="shared" si="454"/>
        <v>1</v>
      </c>
      <c r="AD1138" s="12" t="b">
        <f t="shared" si="455"/>
        <v>1</v>
      </c>
      <c r="AE1138" s="479" t="b">
        <f t="shared" si="456"/>
        <v>0</v>
      </c>
      <c r="AF1138" s="508" t="b">
        <f t="shared" si="457"/>
        <v>1</v>
      </c>
    </row>
    <row r="1139" spans="1:32" s="12" customFormat="1" ht="15.75" customHeight="1">
      <c r="A1139" s="285"/>
      <c r="B1139" s="23" t="s">
        <v>1166</v>
      </c>
      <c r="C1139" s="37" t="s">
        <v>19</v>
      </c>
      <c r="D1139" s="37" t="s">
        <v>69</v>
      </c>
      <c r="E1139" s="37" t="s">
        <v>33</v>
      </c>
      <c r="F1139" s="37" t="s">
        <v>296</v>
      </c>
      <c r="G1139" s="36" t="s">
        <v>90</v>
      </c>
      <c r="H1139" s="69">
        <f>H1140</f>
        <v>1192425.75</v>
      </c>
      <c r="I1139" s="69">
        <f>I1140</f>
        <v>173528.45</v>
      </c>
      <c r="J1139" s="69">
        <f>J1140</f>
        <v>173712.36000000002</v>
      </c>
      <c r="K1139" s="69">
        <v>1251829.26</v>
      </c>
      <c r="L1139" s="69">
        <v>173528.45</v>
      </c>
      <c r="M1139" s="69">
        <v>173712.36000000002</v>
      </c>
      <c r="N1139" s="69"/>
      <c r="O1139" s="69">
        <v>972397.57000000007</v>
      </c>
      <c r="P1139" s="69">
        <v>173528.45</v>
      </c>
      <c r="Q1139" s="69">
        <v>173712.36000000002</v>
      </c>
      <c r="R1139" s="472">
        <f t="shared" si="448"/>
        <v>220028.17999999993</v>
      </c>
      <c r="S1139" s="472">
        <f t="shared" si="449"/>
        <v>0</v>
      </c>
      <c r="T1139" s="472">
        <f t="shared" si="450"/>
        <v>0</v>
      </c>
      <c r="U1139" s="23" t="s">
        <v>1166</v>
      </c>
      <c r="V1139" s="37" t="s">
        <v>19</v>
      </c>
      <c r="W1139" s="37" t="s">
        <v>69</v>
      </c>
      <c r="X1139" s="37" t="s">
        <v>33</v>
      </c>
      <c r="Y1139" s="37" t="s">
        <v>296</v>
      </c>
      <c r="Z1139" s="36" t="s">
        <v>90</v>
      </c>
      <c r="AA1139" s="12" t="b">
        <f t="shared" si="452"/>
        <v>1</v>
      </c>
      <c r="AB1139" s="12" t="b">
        <f t="shared" si="453"/>
        <v>1</v>
      </c>
      <c r="AC1139" s="12" t="b">
        <f t="shared" si="454"/>
        <v>1</v>
      </c>
      <c r="AD1139" s="12" t="b">
        <f t="shared" si="455"/>
        <v>1</v>
      </c>
      <c r="AE1139" s="12" t="b">
        <f t="shared" si="456"/>
        <v>1</v>
      </c>
      <c r="AF1139" s="12" t="b">
        <f t="shared" si="457"/>
        <v>1</v>
      </c>
    </row>
    <row r="1140" spans="1:32" s="12" customFormat="1" ht="15.75" customHeight="1">
      <c r="A1140" s="285"/>
      <c r="B1140" s="23" t="s">
        <v>1213</v>
      </c>
      <c r="C1140" s="37" t="s">
        <v>19</v>
      </c>
      <c r="D1140" s="37" t="s">
        <v>69</v>
      </c>
      <c r="E1140" s="37" t="s">
        <v>33</v>
      </c>
      <c r="F1140" s="37" t="s">
        <v>297</v>
      </c>
      <c r="G1140" s="36" t="s">
        <v>90</v>
      </c>
      <c r="H1140" s="69">
        <f>H1141+H1162</f>
        <v>1192425.75</v>
      </c>
      <c r="I1140" s="69">
        <f>I1141+I1162</f>
        <v>173528.45</v>
      </c>
      <c r="J1140" s="69">
        <f>J1141+J1162</f>
        <v>173712.36000000002</v>
      </c>
      <c r="K1140" s="69">
        <v>1251829.26</v>
      </c>
      <c r="L1140" s="69">
        <v>173528.45</v>
      </c>
      <c r="M1140" s="69">
        <v>173712.36000000002</v>
      </c>
      <c r="N1140" s="69"/>
      <c r="O1140" s="69">
        <v>972397.57000000007</v>
      </c>
      <c r="P1140" s="69">
        <v>173528.45</v>
      </c>
      <c r="Q1140" s="69">
        <v>173712.36000000002</v>
      </c>
      <c r="R1140" s="472">
        <f t="shared" si="448"/>
        <v>220028.17999999993</v>
      </c>
      <c r="S1140" s="472">
        <f t="shared" si="449"/>
        <v>0</v>
      </c>
      <c r="T1140" s="472">
        <f t="shared" si="450"/>
        <v>0</v>
      </c>
      <c r="U1140" s="494" t="s">
        <v>1213</v>
      </c>
      <c r="V1140" s="37" t="s">
        <v>19</v>
      </c>
      <c r="W1140" s="37" t="s">
        <v>69</v>
      </c>
      <c r="X1140" s="37" t="s">
        <v>33</v>
      </c>
      <c r="Y1140" s="37" t="s">
        <v>297</v>
      </c>
      <c r="Z1140" s="36" t="s">
        <v>90</v>
      </c>
      <c r="AA1140" s="12" t="b">
        <f t="shared" si="452"/>
        <v>1</v>
      </c>
      <c r="AB1140" s="12" t="b">
        <f t="shared" si="453"/>
        <v>1</v>
      </c>
      <c r="AC1140" s="12" t="b">
        <f t="shared" si="454"/>
        <v>1</v>
      </c>
      <c r="AD1140" s="12" t="b">
        <f t="shared" si="455"/>
        <v>1</v>
      </c>
      <c r="AE1140" s="12" t="b">
        <f t="shared" si="456"/>
        <v>1</v>
      </c>
      <c r="AF1140" s="12" t="b">
        <f t="shared" si="457"/>
        <v>1</v>
      </c>
    </row>
    <row r="1141" spans="1:32" s="12" customFormat="1" ht="15.75" customHeight="1">
      <c r="A1141" s="285"/>
      <c r="B1141" s="182" t="s">
        <v>554</v>
      </c>
      <c r="C1141" s="37" t="s">
        <v>19</v>
      </c>
      <c r="D1141" s="37" t="s">
        <v>69</v>
      </c>
      <c r="E1141" s="37" t="s">
        <v>33</v>
      </c>
      <c r="F1141" s="37" t="s">
        <v>298</v>
      </c>
      <c r="G1141" s="36" t="s">
        <v>90</v>
      </c>
      <c r="H1141" s="69">
        <f>H1142+H1144+H1146+H1148+H1152+H1157+H1160+H1150+H1154</f>
        <v>1115173.48</v>
      </c>
      <c r="I1141" s="69">
        <f>I1142+I1144+I1146+I1148+I1152+I1157+I1160+I1150</f>
        <v>98089.700000000012</v>
      </c>
      <c r="J1141" s="69">
        <f>J1142+J1144+J1146+J1148+J1152+J1157+J1160+J1150</f>
        <v>98089.700000000012</v>
      </c>
      <c r="K1141" s="69">
        <v>1174576.99</v>
      </c>
      <c r="L1141" s="69">
        <v>98089.700000000012</v>
      </c>
      <c r="M1141" s="69">
        <v>98089.700000000012</v>
      </c>
      <c r="N1141" s="69"/>
      <c r="O1141" s="69">
        <v>895145.3</v>
      </c>
      <c r="P1141" s="69">
        <v>98089.700000000012</v>
      </c>
      <c r="Q1141" s="69">
        <v>98089.700000000012</v>
      </c>
      <c r="R1141" s="472">
        <f t="shared" si="448"/>
        <v>220028.17999999993</v>
      </c>
      <c r="S1141" s="472">
        <f t="shared" si="449"/>
        <v>0</v>
      </c>
      <c r="T1141" s="472">
        <f t="shared" si="450"/>
        <v>0</v>
      </c>
      <c r="U1141" s="182" t="s">
        <v>554</v>
      </c>
      <c r="V1141" s="37" t="s">
        <v>19</v>
      </c>
      <c r="W1141" s="37" t="s">
        <v>69</v>
      </c>
      <c r="X1141" s="37" t="s">
        <v>33</v>
      </c>
      <c r="Y1141" s="37" t="s">
        <v>298</v>
      </c>
      <c r="Z1141" s="36" t="s">
        <v>90</v>
      </c>
      <c r="AA1141" s="12" t="b">
        <f t="shared" si="452"/>
        <v>1</v>
      </c>
      <c r="AB1141" s="12" t="b">
        <f t="shared" si="453"/>
        <v>1</v>
      </c>
      <c r="AC1141" s="12" t="b">
        <f t="shared" si="454"/>
        <v>1</v>
      </c>
      <c r="AD1141" s="12" t="b">
        <f t="shared" si="455"/>
        <v>1</v>
      </c>
      <c r="AE1141" s="12" t="b">
        <f t="shared" si="456"/>
        <v>1</v>
      </c>
      <c r="AF1141" s="12" t="b">
        <f t="shared" si="457"/>
        <v>1</v>
      </c>
    </row>
    <row r="1142" spans="1:32" s="12" customFormat="1" ht="15.75" customHeight="1">
      <c r="A1142" s="285"/>
      <c r="B1142" s="182" t="s">
        <v>760</v>
      </c>
      <c r="C1142" s="37" t="s">
        <v>19</v>
      </c>
      <c r="D1142" s="37" t="s">
        <v>69</v>
      </c>
      <c r="E1142" s="37" t="s">
        <v>33</v>
      </c>
      <c r="F1142" s="37" t="s">
        <v>431</v>
      </c>
      <c r="G1142" s="36" t="s">
        <v>90</v>
      </c>
      <c r="H1142" s="69">
        <f>H1143</f>
        <v>90249.61</v>
      </c>
      <c r="I1142" s="69">
        <f>I1143</f>
        <v>76261.13</v>
      </c>
      <c r="J1142" s="69">
        <f>J1143</f>
        <v>76261.13</v>
      </c>
      <c r="K1142" s="69">
        <v>90249.61</v>
      </c>
      <c r="L1142" s="69">
        <v>76261.13</v>
      </c>
      <c r="M1142" s="69">
        <v>76261.13</v>
      </c>
      <c r="N1142" s="69"/>
      <c r="O1142" s="69">
        <v>65387.3</v>
      </c>
      <c r="P1142" s="69">
        <v>76261.13</v>
      </c>
      <c r="Q1142" s="69">
        <v>76261.13</v>
      </c>
      <c r="R1142" s="472">
        <f t="shared" si="448"/>
        <v>24862.309999999998</v>
      </c>
      <c r="S1142" s="472">
        <f t="shared" si="449"/>
        <v>0</v>
      </c>
      <c r="T1142" s="472">
        <f t="shared" si="450"/>
        <v>0</v>
      </c>
      <c r="U1142" s="182" t="s">
        <v>760</v>
      </c>
      <c r="V1142" s="37" t="s">
        <v>19</v>
      </c>
      <c r="W1142" s="37" t="s">
        <v>69</v>
      </c>
      <c r="X1142" s="37" t="s">
        <v>33</v>
      </c>
      <c r="Y1142" s="37" t="s">
        <v>431</v>
      </c>
      <c r="Z1142" s="36" t="s">
        <v>90</v>
      </c>
      <c r="AA1142" s="12" t="b">
        <f t="shared" si="452"/>
        <v>1</v>
      </c>
      <c r="AB1142" s="12" t="b">
        <f t="shared" si="453"/>
        <v>1</v>
      </c>
      <c r="AC1142" s="12" t="b">
        <f t="shared" si="454"/>
        <v>1</v>
      </c>
      <c r="AD1142" s="12" t="b">
        <f t="shared" si="455"/>
        <v>1</v>
      </c>
      <c r="AE1142" s="12" t="b">
        <f t="shared" si="456"/>
        <v>1</v>
      </c>
      <c r="AF1142" s="12" t="b">
        <f t="shared" si="457"/>
        <v>1</v>
      </c>
    </row>
    <row r="1143" spans="1:32" s="12" customFormat="1" ht="15.75" customHeight="1">
      <c r="A1143" s="285"/>
      <c r="B1143" s="182" t="s">
        <v>145</v>
      </c>
      <c r="C1143" s="37" t="s">
        <v>19</v>
      </c>
      <c r="D1143" s="37" t="s">
        <v>69</v>
      </c>
      <c r="E1143" s="37" t="s">
        <v>33</v>
      </c>
      <c r="F1143" s="37" t="s">
        <v>431</v>
      </c>
      <c r="G1143" s="36" t="s">
        <v>153</v>
      </c>
      <c r="H1143" s="69">
        <f>65387.3+24862.31</f>
        <v>90249.61</v>
      </c>
      <c r="I1143" s="69">
        <v>76261.13</v>
      </c>
      <c r="J1143" s="69">
        <v>76261.13</v>
      </c>
      <c r="K1143" s="69">
        <v>90249.61</v>
      </c>
      <c r="L1143" s="69">
        <v>76261.13</v>
      </c>
      <c r="M1143" s="69">
        <v>76261.13</v>
      </c>
      <c r="N1143" s="69"/>
      <c r="O1143" s="69">
        <v>65387.3</v>
      </c>
      <c r="P1143" s="69">
        <v>76261.13</v>
      </c>
      <c r="Q1143" s="69">
        <v>76261.13</v>
      </c>
      <c r="R1143" s="472">
        <f t="shared" si="448"/>
        <v>24862.309999999998</v>
      </c>
      <c r="S1143" s="472">
        <f t="shared" si="449"/>
        <v>0</v>
      </c>
      <c r="T1143" s="472">
        <f t="shared" si="450"/>
        <v>0</v>
      </c>
      <c r="U1143" s="182" t="s">
        <v>145</v>
      </c>
      <c r="V1143" s="37" t="s">
        <v>19</v>
      </c>
      <c r="W1143" s="37" t="s">
        <v>69</v>
      </c>
      <c r="X1143" s="37" t="s">
        <v>33</v>
      </c>
      <c r="Y1143" s="37" t="s">
        <v>431</v>
      </c>
      <c r="Z1143" s="36" t="s">
        <v>153</v>
      </c>
      <c r="AA1143" s="12" t="b">
        <f t="shared" si="452"/>
        <v>1</v>
      </c>
      <c r="AB1143" s="12" t="b">
        <f t="shared" si="453"/>
        <v>1</v>
      </c>
      <c r="AC1143" s="12" t="b">
        <f t="shared" si="454"/>
        <v>1</v>
      </c>
      <c r="AD1143" s="12" t="b">
        <f t="shared" si="455"/>
        <v>1</v>
      </c>
      <c r="AE1143" s="12" t="b">
        <f t="shared" si="456"/>
        <v>1</v>
      </c>
      <c r="AF1143" s="12" t="b">
        <f t="shared" si="457"/>
        <v>1</v>
      </c>
    </row>
    <row r="1144" spans="1:32" s="12" customFormat="1" ht="15.75" customHeight="1">
      <c r="A1144" s="285"/>
      <c r="B1144" s="182" t="s">
        <v>451</v>
      </c>
      <c r="C1144" s="37" t="s">
        <v>19</v>
      </c>
      <c r="D1144" s="37" t="s">
        <v>69</v>
      </c>
      <c r="E1144" s="37" t="s">
        <v>33</v>
      </c>
      <c r="F1144" s="37" t="s">
        <v>452</v>
      </c>
      <c r="G1144" s="36" t="s">
        <v>90</v>
      </c>
      <c r="H1144" s="69">
        <f>H1145</f>
        <v>2350</v>
      </c>
      <c r="I1144" s="69">
        <f>I1145</f>
        <v>1350</v>
      </c>
      <c r="J1144" s="69">
        <f>J1145</f>
        <v>1350</v>
      </c>
      <c r="K1144" s="69">
        <v>2350</v>
      </c>
      <c r="L1144" s="69">
        <v>1350</v>
      </c>
      <c r="M1144" s="69">
        <v>1350</v>
      </c>
      <c r="N1144" s="69"/>
      <c r="O1144" s="69">
        <v>2350</v>
      </c>
      <c r="P1144" s="69">
        <v>1350</v>
      </c>
      <c r="Q1144" s="69">
        <v>1350</v>
      </c>
      <c r="R1144" s="472">
        <f t="shared" si="448"/>
        <v>0</v>
      </c>
      <c r="S1144" s="472">
        <f t="shared" si="449"/>
        <v>0</v>
      </c>
      <c r="T1144" s="472">
        <f t="shared" si="450"/>
        <v>0</v>
      </c>
      <c r="U1144" s="182" t="s">
        <v>451</v>
      </c>
      <c r="V1144" s="37" t="s">
        <v>19</v>
      </c>
      <c r="W1144" s="37" t="s">
        <v>69</v>
      </c>
      <c r="X1144" s="37" t="s">
        <v>33</v>
      </c>
      <c r="Y1144" s="37" t="s">
        <v>452</v>
      </c>
      <c r="Z1144" s="36" t="s">
        <v>90</v>
      </c>
      <c r="AA1144" s="12" t="b">
        <f t="shared" si="452"/>
        <v>1</v>
      </c>
      <c r="AB1144" s="12" t="b">
        <f t="shared" si="453"/>
        <v>1</v>
      </c>
      <c r="AC1144" s="12" t="b">
        <f t="shared" si="454"/>
        <v>1</v>
      </c>
      <c r="AD1144" s="12" t="b">
        <f t="shared" si="455"/>
        <v>1</v>
      </c>
      <c r="AE1144" s="12" t="b">
        <f t="shared" si="456"/>
        <v>1</v>
      </c>
      <c r="AF1144" s="12" t="b">
        <f t="shared" si="457"/>
        <v>1</v>
      </c>
    </row>
    <row r="1145" spans="1:32" s="12" customFormat="1" ht="15.75" customHeight="1">
      <c r="A1145" s="285"/>
      <c r="B1145" s="182" t="s">
        <v>145</v>
      </c>
      <c r="C1145" s="37" t="s">
        <v>19</v>
      </c>
      <c r="D1145" s="37" t="s">
        <v>69</v>
      </c>
      <c r="E1145" s="37" t="s">
        <v>33</v>
      </c>
      <c r="F1145" s="37" t="s">
        <v>452</v>
      </c>
      <c r="G1145" s="36" t="s">
        <v>153</v>
      </c>
      <c r="H1145" s="69">
        <v>2350</v>
      </c>
      <c r="I1145" s="69">
        <v>1350</v>
      </c>
      <c r="J1145" s="69">
        <v>1350</v>
      </c>
      <c r="K1145" s="69">
        <v>2350</v>
      </c>
      <c r="L1145" s="69">
        <v>1350</v>
      </c>
      <c r="M1145" s="69">
        <v>1350</v>
      </c>
      <c r="N1145" s="69"/>
      <c r="O1145" s="69">
        <v>2350</v>
      </c>
      <c r="P1145" s="69">
        <v>1350</v>
      </c>
      <c r="Q1145" s="69">
        <v>1350</v>
      </c>
      <c r="R1145" s="472">
        <f t="shared" si="448"/>
        <v>0</v>
      </c>
      <c r="S1145" s="472">
        <f t="shared" si="449"/>
        <v>0</v>
      </c>
      <c r="T1145" s="472">
        <f t="shared" si="450"/>
        <v>0</v>
      </c>
      <c r="U1145" s="182" t="s">
        <v>145</v>
      </c>
      <c r="V1145" s="37" t="s">
        <v>19</v>
      </c>
      <c r="W1145" s="37" t="s">
        <v>69</v>
      </c>
      <c r="X1145" s="37" t="s">
        <v>33</v>
      </c>
      <c r="Y1145" s="37" t="s">
        <v>452</v>
      </c>
      <c r="Z1145" s="36" t="s">
        <v>153</v>
      </c>
      <c r="AA1145" s="12" t="b">
        <f t="shared" si="452"/>
        <v>1</v>
      </c>
      <c r="AB1145" s="12" t="b">
        <f t="shared" si="453"/>
        <v>1</v>
      </c>
      <c r="AC1145" s="12" t="b">
        <f t="shared" si="454"/>
        <v>1</v>
      </c>
      <c r="AD1145" s="12" t="b">
        <f t="shared" si="455"/>
        <v>1</v>
      </c>
      <c r="AE1145" s="12" t="b">
        <f t="shared" si="456"/>
        <v>1</v>
      </c>
      <c r="AF1145" s="12" t="b">
        <f t="shared" si="457"/>
        <v>1</v>
      </c>
    </row>
    <row r="1146" spans="1:32" s="382" customFormat="1" ht="15.75" customHeight="1">
      <c r="A1146" s="387"/>
      <c r="B1146" s="182" t="s">
        <v>758</v>
      </c>
      <c r="C1146" s="37" t="s">
        <v>19</v>
      </c>
      <c r="D1146" s="37" t="s">
        <v>69</v>
      </c>
      <c r="E1146" s="37" t="s">
        <v>33</v>
      </c>
      <c r="F1146" s="37" t="s">
        <v>759</v>
      </c>
      <c r="G1146" s="36" t="s">
        <v>90</v>
      </c>
      <c r="H1146" s="69">
        <f>H1147</f>
        <v>100</v>
      </c>
      <c r="I1146" s="69">
        <f>I1147</f>
        <v>0</v>
      </c>
      <c r="J1146" s="69">
        <f>J1147</f>
        <v>0</v>
      </c>
      <c r="K1146" s="69">
        <v>100</v>
      </c>
      <c r="L1146" s="69">
        <v>0</v>
      </c>
      <c r="M1146" s="69">
        <v>0</v>
      </c>
      <c r="N1146" s="69"/>
      <c r="O1146" s="69">
        <v>100</v>
      </c>
      <c r="P1146" s="69">
        <v>0</v>
      </c>
      <c r="Q1146" s="69">
        <v>0</v>
      </c>
      <c r="R1146" s="472">
        <f t="shared" si="448"/>
        <v>0</v>
      </c>
      <c r="S1146" s="472">
        <f t="shared" si="449"/>
        <v>0</v>
      </c>
      <c r="T1146" s="472">
        <f t="shared" si="450"/>
        <v>0</v>
      </c>
      <c r="U1146" s="182" t="s">
        <v>758</v>
      </c>
      <c r="V1146" s="37" t="s">
        <v>19</v>
      </c>
      <c r="W1146" s="37" t="s">
        <v>69</v>
      </c>
      <c r="X1146" s="37" t="s">
        <v>33</v>
      </c>
      <c r="Y1146" s="37" t="s">
        <v>759</v>
      </c>
      <c r="Z1146" s="36" t="s">
        <v>90</v>
      </c>
      <c r="AA1146" s="12" t="b">
        <f t="shared" si="452"/>
        <v>1</v>
      </c>
      <c r="AB1146" s="12" t="b">
        <f t="shared" si="453"/>
        <v>1</v>
      </c>
      <c r="AC1146" s="12" t="b">
        <f t="shared" si="454"/>
        <v>1</v>
      </c>
      <c r="AD1146" s="12" t="b">
        <f t="shared" si="455"/>
        <v>1</v>
      </c>
      <c r="AE1146" s="12" t="b">
        <f t="shared" si="456"/>
        <v>1</v>
      </c>
      <c r="AF1146" s="12" t="b">
        <f t="shared" si="457"/>
        <v>1</v>
      </c>
    </row>
    <row r="1147" spans="1:32" s="386" customFormat="1" ht="15.75" customHeight="1">
      <c r="A1147" s="385"/>
      <c r="B1147" s="114" t="s">
        <v>216</v>
      </c>
      <c r="C1147" s="112" t="s">
        <v>19</v>
      </c>
      <c r="D1147" s="112" t="s">
        <v>69</v>
      </c>
      <c r="E1147" s="112" t="s">
        <v>33</v>
      </c>
      <c r="F1147" s="112" t="s">
        <v>759</v>
      </c>
      <c r="G1147" s="111" t="s">
        <v>141</v>
      </c>
      <c r="H1147" s="115">
        <v>100</v>
      </c>
      <c r="I1147" s="115">
        <v>0</v>
      </c>
      <c r="J1147" s="115">
        <v>0</v>
      </c>
      <c r="K1147" s="115">
        <v>100</v>
      </c>
      <c r="L1147" s="115">
        <v>0</v>
      </c>
      <c r="M1147" s="115">
        <v>0</v>
      </c>
      <c r="N1147" s="115"/>
      <c r="O1147" s="115">
        <v>100</v>
      </c>
      <c r="P1147" s="115">
        <v>0</v>
      </c>
      <c r="Q1147" s="115">
        <v>0</v>
      </c>
      <c r="R1147" s="472">
        <f t="shared" ref="R1147:R1150" si="461">H1147-O1147</f>
        <v>0</v>
      </c>
      <c r="S1147" s="472">
        <f t="shared" ref="S1147:S1150" si="462">I1147-P1147</f>
        <v>0</v>
      </c>
      <c r="T1147" s="472">
        <f t="shared" ref="T1147:T1150" si="463">J1147-Q1147</f>
        <v>0</v>
      </c>
      <c r="U1147" s="114" t="s">
        <v>216</v>
      </c>
      <c r="V1147" s="112" t="s">
        <v>19</v>
      </c>
      <c r="W1147" s="112" t="s">
        <v>69</v>
      </c>
      <c r="X1147" s="112" t="s">
        <v>33</v>
      </c>
      <c r="Y1147" s="112" t="s">
        <v>759</v>
      </c>
      <c r="Z1147" s="111" t="s">
        <v>141</v>
      </c>
      <c r="AA1147" s="12" t="b">
        <f t="shared" si="452"/>
        <v>1</v>
      </c>
      <c r="AB1147" s="12" t="b">
        <f t="shared" si="453"/>
        <v>1</v>
      </c>
      <c r="AC1147" s="12" t="b">
        <f t="shared" si="454"/>
        <v>1</v>
      </c>
      <c r="AD1147" s="12" t="b">
        <f t="shared" si="455"/>
        <v>1</v>
      </c>
      <c r="AE1147" s="12" t="b">
        <f t="shared" si="456"/>
        <v>1</v>
      </c>
      <c r="AF1147" s="12" t="b">
        <f t="shared" si="457"/>
        <v>1</v>
      </c>
    </row>
    <row r="1148" spans="1:32" s="12" customFormat="1" ht="15.75" customHeight="1">
      <c r="A1148" s="285"/>
      <c r="B1148" s="182" t="s">
        <v>909</v>
      </c>
      <c r="C1148" s="36" t="s">
        <v>19</v>
      </c>
      <c r="D1148" s="37" t="s">
        <v>69</v>
      </c>
      <c r="E1148" s="37" t="s">
        <v>33</v>
      </c>
      <c r="F1148" s="70" t="s">
        <v>822</v>
      </c>
      <c r="G1148" s="36" t="s">
        <v>90</v>
      </c>
      <c r="H1148" s="69">
        <f>H1149</f>
        <v>20378.57</v>
      </c>
      <c r="I1148" s="69">
        <f>I1149</f>
        <v>20378.57</v>
      </c>
      <c r="J1148" s="69">
        <f>J1149</f>
        <v>20378.57</v>
      </c>
      <c r="K1148" s="69">
        <v>20378.57</v>
      </c>
      <c r="L1148" s="69">
        <v>20378.57</v>
      </c>
      <c r="M1148" s="69">
        <v>20378.57</v>
      </c>
      <c r="N1148" s="69"/>
      <c r="O1148" s="69">
        <v>20378.57</v>
      </c>
      <c r="P1148" s="69">
        <v>20378.57</v>
      </c>
      <c r="Q1148" s="69">
        <v>20378.57</v>
      </c>
      <c r="R1148" s="472">
        <f t="shared" si="461"/>
        <v>0</v>
      </c>
      <c r="S1148" s="472">
        <f t="shared" si="462"/>
        <v>0</v>
      </c>
      <c r="T1148" s="472">
        <f t="shared" si="463"/>
        <v>0</v>
      </c>
      <c r="U1148" s="182" t="s">
        <v>909</v>
      </c>
      <c r="V1148" s="36" t="s">
        <v>19</v>
      </c>
      <c r="W1148" s="37" t="s">
        <v>69</v>
      </c>
      <c r="X1148" s="37" t="s">
        <v>33</v>
      </c>
      <c r="Y1148" s="70" t="s">
        <v>822</v>
      </c>
      <c r="Z1148" s="36" t="s">
        <v>90</v>
      </c>
      <c r="AA1148" s="12" t="b">
        <f t="shared" si="452"/>
        <v>1</v>
      </c>
      <c r="AB1148" s="12" t="b">
        <f t="shared" si="453"/>
        <v>1</v>
      </c>
      <c r="AC1148" s="12" t="b">
        <f t="shared" si="454"/>
        <v>1</v>
      </c>
      <c r="AD1148" s="12" t="b">
        <f t="shared" si="455"/>
        <v>1</v>
      </c>
      <c r="AE1148" s="12" t="b">
        <f t="shared" si="456"/>
        <v>1</v>
      </c>
      <c r="AF1148" s="12" t="b">
        <f t="shared" si="457"/>
        <v>1</v>
      </c>
    </row>
    <row r="1149" spans="1:32" s="12" customFormat="1" ht="15.75" customHeight="1">
      <c r="A1149" s="285"/>
      <c r="B1149" s="182" t="s">
        <v>145</v>
      </c>
      <c r="C1149" s="36" t="s">
        <v>19</v>
      </c>
      <c r="D1149" s="37" t="s">
        <v>69</v>
      </c>
      <c r="E1149" s="37" t="s">
        <v>33</v>
      </c>
      <c r="F1149" s="70" t="s">
        <v>822</v>
      </c>
      <c r="G1149" s="36" t="s">
        <v>153</v>
      </c>
      <c r="H1149" s="69">
        <v>20378.57</v>
      </c>
      <c r="I1149" s="69">
        <v>20378.57</v>
      </c>
      <c r="J1149" s="69">
        <v>20378.57</v>
      </c>
      <c r="K1149" s="69">
        <v>20378.57</v>
      </c>
      <c r="L1149" s="69">
        <v>20378.57</v>
      </c>
      <c r="M1149" s="69">
        <v>20378.57</v>
      </c>
      <c r="N1149" s="69"/>
      <c r="O1149" s="69">
        <v>20378.57</v>
      </c>
      <c r="P1149" s="69">
        <v>20378.57</v>
      </c>
      <c r="Q1149" s="69">
        <v>20378.57</v>
      </c>
      <c r="R1149" s="472">
        <f t="shared" si="461"/>
        <v>0</v>
      </c>
      <c r="S1149" s="472">
        <f t="shared" si="462"/>
        <v>0</v>
      </c>
      <c r="T1149" s="472">
        <f t="shared" si="463"/>
        <v>0</v>
      </c>
      <c r="U1149" s="182" t="s">
        <v>145</v>
      </c>
      <c r="V1149" s="36" t="s">
        <v>19</v>
      </c>
      <c r="W1149" s="37" t="s">
        <v>69</v>
      </c>
      <c r="X1149" s="37" t="s">
        <v>33</v>
      </c>
      <c r="Y1149" s="70" t="s">
        <v>822</v>
      </c>
      <c r="Z1149" s="36" t="s">
        <v>153</v>
      </c>
      <c r="AA1149" s="12" t="b">
        <f t="shared" si="452"/>
        <v>1</v>
      </c>
      <c r="AB1149" s="12" t="b">
        <f t="shared" si="453"/>
        <v>1</v>
      </c>
      <c r="AC1149" s="12" t="b">
        <f t="shared" si="454"/>
        <v>1</v>
      </c>
      <c r="AD1149" s="12" t="b">
        <f t="shared" si="455"/>
        <v>1</v>
      </c>
      <c r="AE1149" s="12" t="b">
        <f t="shared" si="456"/>
        <v>1</v>
      </c>
      <c r="AF1149" s="12" t="b">
        <f t="shared" si="457"/>
        <v>1</v>
      </c>
    </row>
    <row r="1150" spans="1:32" s="382" customFormat="1" ht="15.75" customHeight="1">
      <c r="A1150" s="285"/>
      <c r="B1150" s="182" t="s">
        <v>1139</v>
      </c>
      <c r="C1150" s="37" t="s">
        <v>19</v>
      </c>
      <c r="D1150" s="37" t="s">
        <v>69</v>
      </c>
      <c r="E1150" s="37" t="s">
        <v>33</v>
      </c>
      <c r="F1150" s="37" t="s">
        <v>1138</v>
      </c>
      <c r="G1150" s="36" t="s">
        <v>90</v>
      </c>
      <c r="H1150" s="69">
        <f>H1151</f>
        <v>557599.68000000005</v>
      </c>
      <c r="I1150" s="69">
        <f>I1151</f>
        <v>0</v>
      </c>
      <c r="J1150" s="69">
        <f>J1151</f>
        <v>0</v>
      </c>
      <c r="K1150" s="69">
        <v>557599.68000000005</v>
      </c>
      <c r="L1150" s="69">
        <v>0</v>
      </c>
      <c r="M1150" s="69">
        <v>0</v>
      </c>
      <c r="N1150" s="69"/>
      <c r="O1150" s="69">
        <v>363159</v>
      </c>
      <c r="P1150" s="69">
        <v>0</v>
      </c>
      <c r="Q1150" s="69">
        <v>0</v>
      </c>
      <c r="R1150" s="472">
        <f t="shared" si="461"/>
        <v>194440.68000000005</v>
      </c>
      <c r="S1150" s="472">
        <f t="shared" si="462"/>
        <v>0</v>
      </c>
      <c r="T1150" s="472">
        <f t="shared" si="463"/>
        <v>0</v>
      </c>
      <c r="U1150" s="182" t="s">
        <v>1139</v>
      </c>
      <c r="V1150" s="37" t="s">
        <v>19</v>
      </c>
      <c r="W1150" s="37" t="s">
        <v>69</v>
      </c>
      <c r="X1150" s="37" t="s">
        <v>33</v>
      </c>
      <c r="Y1150" s="37" t="s">
        <v>1138</v>
      </c>
      <c r="Z1150" s="36" t="s">
        <v>90</v>
      </c>
      <c r="AA1150" s="12" t="b">
        <f t="shared" si="452"/>
        <v>1</v>
      </c>
      <c r="AB1150" s="12" t="b">
        <f t="shared" si="453"/>
        <v>1</v>
      </c>
      <c r="AC1150" s="12" t="b">
        <f t="shared" si="454"/>
        <v>1</v>
      </c>
      <c r="AD1150" s="12" t="b">
        <f t="shared" si="455"/>
        <v>1</v>
      </c>
      <c r="AE1150" s="12" t="b">
        <f t="shared" si="456"/>
        <v>1</v>
      </c>
      <c r="AF1150" s="12" t="b">
        <f t="shared" si="457"/>
        <v>1</v>
      </c>
    </row>
    <row r="1151" spans="1:32" s="382" customFormat="1" ht="15.75" customHeight="1">
      <c r="A1151" s="387"/>
      <c r="B1151" s="114" t="s">
        <v>216</v>
      </c>
      <c r="C1151" s="112" t="s">
        <v>19</v>
      </c>
      <c r="D1151" s="112" t="s">
        <v>69</v>
      </c>
      <c r="E1151" s="112" t="s">
        <v>33</v>
      </c>
      <c r="F1151" s="112" t="s">
        <v>1138</v>
      </c>
      <c r="G1151" s="111" t="s">
        <v>141</v>
      </c>
      <c r="H1151" s="115">
        <f>490021.69+67577.99</f>
        <v>557599.68000000005</v>
      </c>
      <c r="I1151" s="115">
        <v>0</v>
      </c>
      <c r="J1151" s="115">
        <v>0</v>
      </c>
      <c r="K1151" s="115">
        <v>557599.68000000005</v>
      </c>
      <c r="L1151" s="115">
        <v>0</v>
      </c>
      <c r="M1151" s="115">
        <v>0</v>
      </c>
      <c r="N1151" s="115"/>
      <c r="O1151" s="115">
        <v>363159</v>
      </c>
      <c r="P1151" s="115">
        <v>0</v>
      </c>
      <c r="Q1151" s="115">
        <v>0</v>
      </c>
      <c r="R1151" s="472">
        <f t="shared" ref="R1151:R1201" si="464">H1151-O1151</f>
        <v>194440.68000000005</v>
      </c>
      <c r="S1151" s="472">
        <f t="shared" ref="S1151:S1201" si="465">I1151-P1151</f>
        <v>0</v>
      </c>
      <c r="T1151" s="472">
        <f t="shared" ref="T1151:T1201" si="466">J1151-Q1151</f>
        <v>0</v>
      </c>
      <c r="U1151" s="114" t="s">
        <v>216</v>
      </c>
      <c r="V1151" s="112" t="s">
        <v>19</v>
      </c>
      <c r="W1151" s="112" t="s">
        <v>69</v>
      </c>
      <c r="X1151" s="112" t="s">
        <v>33</v>
      </c>
      <c r="Y1151" s="112" t="s">
        <v>1138</v>
      </c>
      <c r="Z1151" s="111" t="s">
        <v>141</v>
      </c>
      <c r="AA1151" s="12" t="b">
        <f t="shared" si="452"/>
        <v>1</v>
      </c>
      <c r="AB1151" s="12" t="b">
        <f t="shared" si="453"/>
        <v>1</v>
      </c>
      <c r="AC1151" s="12" t="b">
        <f t="shared" si="454"/>
        <v>1</v>
      </c>
      <c r="AD1151" s="12" t="b">
        <f t="shared" si="455"/>
        <v>1</v>
      </c>
      <c r="AE1151" s="12" t="b">
        <f t="shared" si="456"/>
        <v>1</v>
      </c>
      <c r="AF1151" s="12" t="b">
        <f t="shared" si="457"/>
        <v>1</v>
      </c>
    </row>
    <row r="1152" spans="1:32" s="382" customFormat="1" ht="15.75" customHeight="1">
      <c r="A1152" s="387"/>
      <c r="B1152" s="182" t="s">
        <v>991</v>
      </c>
      <c r="C1152" s="36" t="s">
        <v>19</v>
      </c>
      <c r="D1152" s="37" t="s">
        <v>69</v>
      </c>
      <c r="E1152" s="37" t="s">
        <v>33</v>
      </c>
      <c r="F1152" s="70" t="s">
        <v>1251</v>
      </c>
      <c r="G1152" s="36" t="s">
        <v>90</v>
      </c>
      <c r="H1152" s="69">
        <f>H1153</f>
        <v>100</v>
      </c>
      <c r="I1152" s="69">
        <f>I1153</f>
        <v>100</v>
      </c>
      <c r="J1152" s="69">
        <f>J1153</f>
        <v>100</v>
      </c>
      <c r="K1152" s="69">
        <v>100</v>
      </c>
      <c r="L1152" s="69">
        <v>100</v>
      </c>
      <c r="M1152" s="69">
        <v>100</v>
      </c>
      <c r="N1152" s="69"/>
      <c r="O1152" s="69">
        <v>100</v>
      </c>
      <c r="P1152" s="69">
        <v>100</v>
      </c>
      <c r="Q1152" s="69">
        <v>100</v>
      </c>
      <c r="R1152" s="472">
        <f t="shared" si="464"/>
        <v>0</v>
      </c>
      <c r="S1152" s="472">
        <f t="shared" si="465"/>
        <v>0</v>
      </c>
      <c r="T1152" s="472">
        <f t="shared" si="466"/>
        <v>0</v>
      </c>
      <c r="U1152" s="182" t="s">
        <v>991</v>
      </c>
      <c r="V1152" s="36" t="s">
        <v>19</v>
      </c>
      <c r="W1152" s="37" t="s">
        <v>69</v>
      </c>
      <c r="X1152" s="37" t="s">
        <v>33</v>
      </c>
      <c r="Y1152" s="70" t="s">
        <v>992</v>
      </c>
      <c r="Z1152" s="36" t="s">
        <v>90</v>
      </c>
      <c r="AA1152" s="12" t="b">
        <f t="shared" si="452"/>
        <v>1</v>
      </c>
      <c r="AB1152" s="12" t="b">
        <f t="shared" si="453"/>
        <v>1</v>
      </c>
      <c r="AC1152" s="12" t="b">
        <f t="shared" si="454"/>
        <v>1</v>
      </c>
      <c r="AD1152" s="12" t="b">
        <f t="shared" si="455"/>
        <v>1</v>
      </c>
      <c r="AE1152" s="12" t="b">
        <f t="shared" si="456"/>
        <v>0</v>
      </c>
      <c r="AF1152" s="12" t="b">
        <f t="shared" si="457"/>
        <v>1</v>
      </c>
    </row>
    <row r="1153" spans="1:32" s="382" customFormat="1" ht="15.75" customHeight="1">
      <c r="A1153" s="387"/>
      <c r="B1153" s="182" t="s">
        <v>145</v>
      </c>
      <c r="C1153" s="36" t="s">
        <v>19</v>
      </c>
      <c r="D1153" s="37" t="s">
        <v>69</v>
      </c>
      <c r="E1153" s="37" t="s">
        <v>33</v>
      </c>
      <c r="F1153" s="519" t="s">
        <v>1251</v>
      </c>
      <c r="G1153" s="36" t="s">
        <v>153</v>
      </c>
      <c r="H1153" s="69">
        <v>100</v>
      </c>
      <c r="I1153" s="69">
        <v>100</v>
      </c>
      <c r="J1153" s="69">
        <v>100</v>
      </c>
      <c r="K1153" s="69">
        <v>100</v>
      </c>
      <c r="L1153" s="69">
        <v>100</v>
      </c>
      <c r="M1153" s="69">
        <v>100</v>
      </c>
      <c r="N1153" s="69"/>
      <c r="O1153" s="69">
        <v>100</v>
      </c>
      <c r="P1153" s="69">
        <v>100</v>
      </c>
      <c r="Q1153" s="69">
        <v>100</v>
      </c>
      <c r="R1153" s="472">
        <f t="shared" si="464"/>
        <v>0</v>
      </c>
      <c r="S1153" s="472">
        <f t="shared" si="465"/>
        <v>0</v>
      </c>
      <c r="T1153" s="472">
        <f t="shared" si="466"/>
        <v>0</v>
      </c>
      <c r="U1153" s="182" t="s">
        <v>145</v>
      </c>
      <c r="V1153" s="36" t="s">
        <v>19</v>
      </c>
      <c r="W1153" s="37" t="s">
        <v>69</v>
      </c>
      <c r="X1153" s="37" t="s">
        <v>33</v>
      </c>
      <c r="Y1153" s="70" t="s">
        <v>992</v>
      </c>
      <c r="Z1153" s="36" t="s">
        <v>153</v>
      </c>
      <c r="AA1153" s="12" t="b">
        <f t="shared" si="452"/>
        <v>1</v>
      </c>
      <c r="AB1153" s="12" t="b">
        <f t="shared" si="453"/>
        <v>1</v>
      </c>
      <c r="AC1153" s="12" t="b">
        <f t="shared" si="454"/>
        <v>1</v>
      </c>
      <c r="AD1153" s="12" t="b">
        <f t="shared" si="455"/>
        <v>1</v>
      </c>
      <c r="AE1153" s="12" t="b">
        <f t="shared" si="456"/>
        <v>0</v>
      </c>
      <c r="AF1153" s="12" t="b">
        <f t="shared" si="457"/>
        <v>1</v>
      </c>
    </row>
    <row r="1154" spans="1:32" s="382" customFormat="1" ht="15.75" customHeight="1">
      <c r="A1154" s="387"/>
      <c r="B1154" s="182" t="s">
        <v>1252</v>
      </c>
      <c r="C1154" s="37" t="s">
        <v>19</v>
      </c>
      <c r="D1154" s="37" t="s">
        <v>69</v>
      </c>
      <c r="E1154" s="37" t="s">
        <v>33</v>
      </c>
      <c r="F1154" s="37" t="s">
        <v>1253</v>
      </c>
      <c r="G1154" s="36" t="s">
        <v>90</v>
      </c>
      <c r="H1154" s="69">
        <f>H1155</f>
        <v>60128.700000000004</v>
      </c>
      <c r="I1154" s="69"/>
      <c r="J1154" s="69"/>
      <c r="K1154" s="69">
        <v>60128.700000000004</v>
      </c>
      <c r="L1154" s="69"/>
      <c r="M1154" s="69"/>
      <c r="N1154" s="69"/>
      <c r="O1154" s="69"/>
      <c r="P1154" s="69"/>
      <c r="Q1154" s="69"/>
      <c r="R1154" s="472"/>
      <c r="S1154" s="472"/>
      <c r="T1154" s="472"/>
      <c r="U1154" s="182"/>
      <c r="V1154" s="36"/>
      <c r="W1154" s="37"/>
      <c r="X1154" s="37"/>
      <c r="Y1154" s="70"/>
      <c r="Z1154" s="36"/>
      <c r="AA1154" s="12"/>
      <c r="AB1154" s="12"/>
      <c r="AC1154" s="12"/>
      <c r="AD1154" s="12"/>
      <c r="AE1154" s="12"/>
      <c r="AF1154" s="12"/>
    </row>
    <row r="1155" spans="1:32" s="382" customFormat="1" ht="15.75" customHeight="1">
      <c r="A1155" s="387"/>
      <c r="B1155" s="114" t="s">
        <v>216</v>
      </c>
      <c r="C1155" s="112" t="s">
        <v>19</v>
      </c>
      <c r="D1155" s="112" t="s">
        <v>69</v>
      </c>
      <c r="E1155" s="112" t="s">
        <v>33</v>
      </c>
      <c r="F1155" s="112" t="s">
        <v>1253</v>
      </c>
      <c r="G1155" s="111" t="s">
        <v>141</v>
      </c>
      <c r="H1155" s="115">
        <v>60128.700000000004</v>
      </c>
      <c r="I1155" s="115"/>
      <c r="J1155" s="115"/>
      <c r="K1155" s="115">
        <v>60128.700000000004</v>
      </c>
      <c r="L1155" s="115"/>
      <c r="M1155" s="115"/>
      <c r="N1155" s="115"/>
      <c r="O1155" s="69"/>
      <c r="P1155" s="69"/>
      <c r="Q1155" s="69"/>
      <c r="R1155" s="472"/>
      <c r="S1155" s="472"/>
      <c r="T1155" s="472"/>
      <c r="U1155" s="182"/>
      <c r="V1155" s="36"/>
      <c r="W1155" s="37"/>
      <c r="X1155" s="37"/>
      <c r="Y1155" s="70"/>
      <c r="Z1155" s="36"/>
      <c r="AA1155" s="12"/>
      <c r="AB1155" s="12"/>
      <c r="AC1155" s="12"/>
      <c r="AD1155" s="12"/>
      <c r="AE1155" s="12"/>
      <c r="AF1155" s="12"/>
    </row>
    <row r="1156" spans="1:32" s="382" customFormat="1" ht="15.75" customHeight="1">
      <c r="A1156" s="387"/>
      <c r="B1156" s="182" t="s">
        <v>1065</v>
      </c>
      <c r="C1156" s="37" t="s">
        <v>19</v>
      </c>
      <c r="D1156" s="37" t="s">
        <v>69</v>
      </c>
      <c r="E1156" s="37" t="s">
        <v>33</v>
      </c>
      <c r="F1156" s="37" t="s">
        <v>1066</v>
      </c>
      <c r="G1156" s="36" t="s">
        <v>90</v>
      </c>
      <c r="H1156" s="69">
        <f t="shared" ref="H1156:J1157" si="467">H1157</f>
        <v>322260.61000000004</v>
      </c>
      <c r="I1156" s="69">
        <f t="shared" si="467"/>
        <v>0</v>
      </c>
      <c r="J1156" s="69">
        <f t="shared" si="467"/>
        <v>0</v>
      </c>
      <c r="K1156" s="69">
        <v>322260.61000000004</v>
      </c>
      <c r="L1156" s="69">
        <v>0</v>
      </c>
      <c r="M1156" s="69">
        <v>0</v>
      </c>
      <c r="N1156" s="69"/>
      <c r="O1156" s="69">
        <v>322260.61000000004</v>
      </c>
      <c r="P1156" s="69">
        <v>0</v>
      </c>
      <c r="Q1156" s="69">
        <v>0</v>
      </c>
      <c r="R1156" s="472">
        <f t="shared" si="464"/>
        <v>0</v>
      </c>
      <c r="S1156" s="472">
        <f t="shared" si="465"/>
        <v>0</v>
      </c>
      <c r="T1156" s="472">
        <f t="shared" si="466"/>
        <v>0</v>
      </c>
      <c r="U1156" s="182" t="s">
        <v>1065</v>
      </c>
      <c r="V1156" s="37" t="s">
        <v>19</v>
      </c>
      <c r="W1156" s="37" t="s">
        <v>69</v>
      </c>
      <c r="X1156" s="37" t="s">
        <v>33</v>
      </c>
      <c r="Y1156" s="37" t="s">
        <v>1066</v>
      </c>
      <c r="Z1156" s="36" t="s">
        <v>90</v>
      </c>
      <c r="AA1156" s="12" t="b">
        <f t="shared" si="452"/>
        <v>1</v>
      </c>
      <c r="AB1156" s="12" t="b">
        <f t="shared" si="453"/>
        <v>1</v>
      </c>
      <c r="AC1156" s="12" t="b">
        <f t="shared" si="454"/>
        <v>1</v>
      </c>
      <c r="AD1156" s="12" t="b">
        <f t="shared" si="455"/>
        <v>1</v>
      </c>
      <c r="AE1156" s="12" t="b">
        <f t="shared" si="456"/>
        <v>1</v>
      </c>
      <c r="AF1156" s="12" t="b">
        <f t="shared" si="457"/>
        <v>1</v>
      </c>
    </row>
    <row r="1157" spans="1:32" s="12" customFormat="1" ht="15.75" customHeight="1">
      <c r="A1157" s="285"/>
      <c r="B1157" s="182" t="s">
        <v>1024</v>
      </c>
      <c r="C1157" s="37" t="s">
        <v>19</v>
      </c>
      <c r="D1157" s="37" t="s">
        <v>69</v>
      </c>
      <c r="E1157" s="37" t="s">
        <v>33</v>
      </c>
      <c r="F1157" s="37" t="s">
        <v>961</v>
      </c>
      <c r="G1157" s="36" t="s">
        <v>90</v>
      </c>
      <c r="H1157" s="69">
        <f t="shared" si="467"/>
        <v>322260.61000000004</v>
      </c>
      <c r="I1157" s="69">
        <f t="shared" si="467"/>
        <v>0</v>
      </c>
      <c r="J1157" s="69">
        <f t="shared" si="467"/>
        <v>0</v>
      </c>
      <c r="K1157" s="69">
        <v>322260.61000000004</v>
      </c>
      <c r="L1157" s="69">
        <v>0</v>
      </c>
      <c r="M1157" s="69">
        <v>0</v>
      </c>
      <c r="N1157" s="69"/>
      <c r="O1157" s="69">
        <v>322260.61000000004</v>
      </c>
      <c r="P1157" s="69">
        <v>0</v>
      </c>
      <c r="Q1157" s="69">
        <v>0</v>
      </c>
      <c r="R1157" s="472">
        <f t="shared" si="464"/>
        <v>0</v>
      </c>
      <c r="S1157" s="472">
        <f t="shared" si="465"/>
        <v>0</v>
      </c>
      <c r="T1157" s="472">
        <f t="shared" si="466"/>
        <v>0</v>
      </c>
      <c r="U1157" s="182" t="s">
        <v>1024</v>
      </c>
      <c r="V1157" s="37" t="s">
        <v>19</v>
      </c>
      <c r="W1157" s="37" t="s">
        <v>69</v>
      </c>
      <c r="X1157" s="37" t="s">
        <v>33</v>
      </c>
      <c r="Y1157" s="37" t="s">
        <v>961</v>
      </c>
      <c r="Z1157" s="36" t="s">
        <v>90</v>
      </c>
      <c r="AA1157" s="12" t="b">
        <f t="shared" si="452"/>
        <v>1</v>
      </c>
      <c r="AB1157" s="12" t="b">
        <f t="shared" si="453"/>
        <v>1</v>
      </c>
      <c r="AC1157" s="12" t="b">
        <f t="shared" si="454"/>
        <v>1</v>
      </c>
      <c r="AD1157" s="12" t="b">
        <f t="shared" si="455"/>
        <v>1</v>
      </c>
      <c r="AE1157" s="12" t="b">
        <f t="shared" si="456"/>
        <v>1</v>
      </c>
      <c r="AF1157" s="12" t="b">
        <f t="shared" si="457"/>
        <v>1</v>
      </c>
    </row>
    <row r="1158" spans="1:32" s="12" customFormat="1" ht="15.75" customHeight="1">
      <c r="A1158" s="285"/>
      <c r="B1158" s="182" t="s">
        <v>145</v>
      </c>
      <c r="C1158" s="37" t="s">
        <v>19</v>
      </c>
      <c r="D1158" s="37" t="s">
        <v>69</v>
      </c>
      <c r="E1158" s="37" t="s">
        <v>33</v>
      </c>
      <c r="F1158" s="37" t="s">
        <v>961</v>
      </c>
      <c r="G1158" s="36" t="s">
        <v>153</v>
      </c>
      <c r="H1158" s="69">
        <v>322260.61000000004</v>
      </c>
      <c r="I1158" s="69">
        <v>0</v>
      </c>
      <c r="J1158" s="69">
        <v>0</v>
      </c>
      <c r="K1158" s="69">
        <v>322260.61000000004</v>
      </c>
      <c r="L1158" s="69">
        <v>0</v>
      </c>
      <c r="M1158" s="69">
        <v>0</v>
      </c>
      <c r="N1158" s="69"/>
      <c r="O1158" s="69">
        <v>322260.61000000004</v>
      </c>
      <c r="P1158" s="69">
        <v>0</v>
      </c>
      <c r="Q1158" s="69">
        <v>0</v>
      </c>
      <c r="R1158" s="472">
        <f t="shared" si="464"/>
        <v>0</v>
      </c>
      <c r="S1158" s="472">
        <f t="shared" si="465"/>
        <v>0</v>
      </c>
      <c r="T1158" s="472">
        <f t="shared" si="466"/>
        <v>0</v>
      </c>
      <c r="U1158" s="182" t="s">
        <v>145</v>
      </c>
      <c r="V1158" s="37" t="s">
        <v>19</v>
      </c>
      <c r="W1158" s="37" t="s">
        <v>69</v>
      </c>
      <c r="X1158" s="37" t="s">
        <v>33</v>
      </c>
      <c r="Y1158" s="37" t="s">
        <v>961</v>
      </c>
      <c r="Z1158" s="36" t="s">
        <v>153</v>
      </c>
      <c r="AA1158" s="12" t="b">
        <f t="shared" si="452"/>
        <v>1</v>
      </c>
      <c r="AB1158" s="12" t="b">
        <f t="shared" si="453"/>
        <v>1</v>
      </c>
      <c r="AC1158" s="12" t="b">
        <f t="shared" si="454"/>
        <v>1</v>
      </c>
      <c r="AD1158" s="12" t="b">
        <f t="shared" si="455"/>
        <v>1</v>
      </c>
      <c r="AE1158" s="12" t="b">
        <f t="shared" si="456"/>
        <v>1</v>
      </c>
      <c r="AF1158" s="12" t="b">
        <f t="shared" si="457"/>
        <v>1</v>
      </c>
    </row>
    <row r="1159" spans="1:32" s="12" customFormat="1" ht="15.75" customHeight="1">
      <c r="A1159" s="285"/>
      <c r="B1159" s="182" t="s">
        <v>1068</v>
      </c>
      <c r="C1159" s="37" t="s">
        <v>19</v>
      </c>
      <c r="D1159" s="37" t="s">
        <v>69</v>
      </c>
      <c r="E1159" s="37" t="s">
        <v>33</v>
      </c>
      <c r="F1159" s="37" t="s">
        <v>1067</v>
      </c>
      <c r="G1159" s="36" t="s">
        <v>90</v>
      </c>
      <c r="H1159" s="69">
        <f t="shared" ref="H1159:J1160" si="468">H1160</f>
        <v>62006.310000000005</v>
      </c>
      <c r="I1159" s="69">
        <f t="shared" si="468"/>
        <v>0</v>
      </c>
      <c r="J1159" s="69">
        <f t="shared" si="468"/>
        <v>0</v>
      </c>
      <c r="K1159" s="69">
        <v>121409.82</v>
      </c>
      <c r="L1159" s="69">
        <v>0</v>
      </c>
      <c r="M1159" s="69">
        <v>0</v>
      </c>
      <c r="N1159" s="69"/>
      <c r="O1159" s="69">
        <v>121409.82</v>
      </c>
      <c r="P1159" s="69">
        <v>0</v>
      </c>
      <c r="Q1159" s="69">
        <v>0</v>
      </c>
      <c r="R1159" s="472">
        <f t="shared" si="464"/>
        <v>-59403.51</v>
      </c>
      <c r="S1159" s="472">
        <f t="shared" si="465"/>
        <v>0</v>
      </c>
      <c r="T1159" s="472">
        <f t="shared" si="466"/>
        <v>0</v>
      </c>
      <c r="U1159" s="182" t="s">
        <v>1068</v>
      </c>
      <c r="V1159" s="37" t="s">
        <v>19</v>
      </c>
      <c r="W1159" s="37" t="s">
        <v>69</v>
      </c>
      <c r="X1159" s="37" t="s">
        <v>33</v>
      </c>
      <c r="Y1159" s="37" t="s">
        <v>1067</v>
      </c>
      <c r="Z1159" s="36" t="s">
        <v>90</v>
      </c>
      <c r="AA1159" s="12" t="b">
        <f t="shared" si="452"/>
        <v>1</v>
      </c>
      <c r="AB1159" s="12" t="b">
        <f t="shared" si="453"/>
        <v>1</v>
      </c>
      <c r="AC1159" s="12" t="b">
        <f t="shared" si="454"/>
        <v>1</v>
      </c>
      <c r="AD1159" s="12" t="b">
        <f t="shared" si="455"/>
        <v>1</v>
      </c>
      <c r="AE1159" s="12" t="b">
        <f t="shared" si="456"/>
        <v>1</v>
      </c>
      <c r="AF1159" s="12" t="b">
        <f t="shared" si="457"/>
        <v>1</v>
      </c>
    </row>
    <row r="1160" spans="1:32" s="12" customFormat="1" ht="15.75" customHeight="1">
      <c r="A1160" s="285"/>
      <c r="B1160" s="182" t="s">
        <v>1012</v>
      </c>
      <c r="C1160" s="37" t="s">
        <v>19</v>
      </c>
      <c r="D1160" s="37" t="s">
        <v>69</v>
      </c>
      <c r="E1160" s="37" t="s">
        <v>33</v>
      </c>
      <c r="F1160" s="37" t="s">
        <v>1013</v>
      </c>
      <c r="G1160" s="36" t="s">
        <v>90</v>
      </c>
      <c r="H1160" s="69">
        <f t="shared" si="468"/>
        <v>62006.310000000005</v>
      </c>
      <c r="I1160" s="69">
        <f t="shared" si="468"/>
        <v>0</v>
      </c>
      <c r="J1160" s="69">
        <f t="shared" si="468"/>
        <v>0</v>
      </c>
      <c r="K1160" s="69">
        <v>121409.82</v>
      </c>
      <c r="L1160" s="69">
        <v>0</v>
      </c>
      <c r="M1160" s="69">
        <v>0</v>
      </c>
      <c r="N1160" s="69"/>
      <c r="O1160" s="69">
        <v>121409.82</v>
      </c>
      <c r="P1160" s="69">
        <v>0</v>
      </c>
      <c r="Q1160" s="69">
        <v>0</v>
      </c>
      <c r="R1160" s="472">
        <f t="shared" si="464"/>
        <v>-59403.51</v>
      </c>
      <c r="S1160" s="472">
        <f t="shared" si="465"/>
        <v>0</v>
      </c>
      <c r="T1160" s="472">
        <f t="shared" si="466"/>
        <v>0</v>
      </c>
      <c r="U1160" s="182" t="s">
        <v>1012</v>
      </c>
      <c r="V1160" s="37" t="s">
        <v>19</v>
      </c>
      <c r="W1160" s="37" t="s">
        <v>69</v>
      </c>
      <c r="X1160" s="37" t="s">
        <v>33</v>
      </c>
      <c r="Y1160" s="37" t="s">
        <v>1013</v>
      </c>
      <c r="Z1160" s="36" t="s">
        <v>90</v>
      </c>
      <c r="AA1160" s="12" t="b">
        <f t="shared" si="452"/>
        <v>1</v>
      </c>
      <c r="AB1160" s="12" t="b">
        <f t="shared" si="453"/>
        <v>1</v>
      </c>
      <c r="AC1160" s="12" t="b">
        <f t="shared" si="454"/>
        <v>1</v>
      </c>
      <c r="AD1160" s="12" t="b">
        <f t="shared" si="455"/>
        <v>1</v>
      </c>
      <c r="AE1160" s="12" t="b">
        <f t="shared" si="456"/>
        <v>1</v>
      </c>
      <c r="AF1160" s="12" t="b">
        <f t="shared" si="457"/>
        <v>1</v>
      </c>
    </row>
    <row r="1161" spans="1:32" s="12" customFormat="1" ht="15.75" customHeight="1">
      <c r="A1161" s="285"/>
      <c r="B1161" s="182" t="s">
        <v>145</v>
      </c>
      <c r="C1161" s="37" t="s">
        <v>19</v>
      </c>
      <c r="D1161" s="37" t="s">
        <v>69</v>
      </c>
      <c r="E1161" s="37" t="s">
        <v>33</v>
      </c>
      <c r="F1161" s="37" t="s">
        <v>1013</v>
      </c>
      <c r="G1161" s="36" t="s">
        <v>153</v>
      </c>
      <c r="H1161" s="69">
        <f>121409.82-59403.51</f>
        <v>62006.310000000005</v>
      </c>
      <c r="I1161" s="69">
        <v>0</v>
      </c>
      <c r="J1161" s="69">
        <v>0</v>
      </c>
      <c r="K1161" s="69">
        <v>121409.82</v>
      </c>
      <c r="L1161" s="69">
        <v>0</v>
      </c>
      <c r="M1161" s="69">
        <v>0</v>
      </c>
      <c r="N1161" s="69"/>
      <c r="O1161" s="69">
        <v>121409.82</v>
      </c>
      <c r="P1161" s="69">
        <v>0</v>
      </c>
      <c r="Q1161" s="69">
        <v>0</v>
      </c>
      <c r="R1161" s="472">
        <f t="shared" si="464"/>
        <v>-59403.51</v>
      </c>
      <c r="S1161" s="472">
        <f t="shared" si="465"/>
        <v>0</v>
      </c>
      <c r="T1161" s="472">
        <f t="shared" si="466"/>
        <v>0</v>
      </c>
      <c r="U1161" s="182" t="s">
        <v>145</v>
      </c>
      <c r="V1161" s="37" t="s">
        <v>19</v>
      </c>
      <c r="W1161" s="37" t="s">
        <v>69</v>
      </c>
      <c r="X1161" s="37" t="s">
        <v>33</v>
      </c>
      <c r="Y1161" s="37" t="s">
        <v>1013</v>
      </c>
      <c r="Z1161" s="36" t="s">
        <v>153</v>
      </c>
      <c r="AA1161" s="12" t="b">
        <f t="shared" si="452"/>
        <v>1</v>
      </c>
      <c r="AB1161" s="12" t="b">
        <f t="shared" si="453"/>
        <v>1</v>
      </c>
      <c r="AC1161" s="12" t="b">
        <f t="shared" si="454"/>
        <v>1</v>
      </c>
      <c r="AD1161" s="12" t="b">
        <f t="shared" si="455"/>
        <v>1</v>
      </c>
      <c r="AE1161" s="12" t="b">
        <f t="shared" si="456"/>
        <v>1</v>
      </c>
      <c r="AF1161" s="12" t="b">
        <f t="shared" si="457"/>
        <v>1</v>
      </c>
    </row>
    <row r="1162" spans="1:32" s="12" customFormat="1" ht="15.75" customHeight="1">
      <c r="A1162" s="285"/>
      <c r="B1162" s="182" t="s">
        <v>561</v>
      </c>
      <c r="C1162" s="37" t="s">
        <v>19</v>
      </c>
      <c r="D1162" s="37" t="s">
        <v>69</v>
      </c>
      <c r="E1162" s="37" t="s">
        <v>33</v>
      </c>
      <c r="F1162" s="37" t="s">
        <v>559</v>
      </c>
      <c r="G1162" s="36" t="s">
        <v>90</v>
      </c>
      <c r="H1162" s="69">
        <f>H1165+H1163</f>
        <v>77252.26999999999</v>
      </c>
      <c r="I1162" s="69">
        <f t="shared" ref="I1162:J1162" si="469">I1165+I1163</f>
        <v>75438.75</v>
      </c>
      <c r="J1162" s="69">
        <f t="shared" si="469"/>
        <v>75622.66</v>
      </c>
      <c r="K1162" s="69">
        <v>77252.26999999999</v>
      </c>
      <c r="L1162" s="69">
        <v>75438.75</v>
      </c>
      <c r="M1162" s="69">
        <v>75622.66</v>
      </c>
      <c r="N1162" s="69"/>
      <c r="O1162" s="69">
        <v>77252.26999999999</v>
      </c>
      <c r="P1162" s="69">
        <v>75438.75</v>
      </c>
      <c r="Q1162" s="69">
        <v>75622.66</v>
      </c>
      <c r="R1162" s="472">
        <f t="shared" si="464"/>
        <v>0</v>
      </c>
      <c r="S1162" s="472">
        <f t="shared" si="465"/>
        <v>0</v>
      </c>
      <c r="T1162" s="472">
        <f t="shared" si="466"/>
        <v>0</v>
      </c>
      <c r="U1162" s="182" t="s">
        <v>561</v>
      </c>
      <c r="V1162" s="37" t="s">
        <v>19</v>
      </c>
      <c r="W1162" s="37" t="s">
        <v>69</v>
      </c>
      <c r="X1162" s="37" t="s">
        <v>33</v>
      </c>
      <c r="Y1162" s="37" t="s">
        <v>559</v>
      </c>
      <c r="Z1162" s="36" t="s">
        <v>90</v>
      </c>
      <c r="AA1162" s="12" t="b">
        <f t="shared" si="452"/>
        <v>1</v>
      </c>
      <c r="AB1162" s="12" t="b">
        <f t="shared" si="453"/>
        <v>1</v>
      </c>
      <c r="AC1162" s="12" t="b">
        <f t="shared" si="454"/>
        <v>1</v>
      </c>
      <c r="AD1162" s="12" t="b">
        <f t="shared" si="455"/>
        <v>1</v>
      </c>
      <c r="AE1162" s="12" t="b">
        <f t="shared" si="456"/>
        <v>1</v>
      </c>
      <c r="AF1162" s="12" t="b">
        <f t="shared" si="457"/>
        <v>1</v>
      </c>
    </row>
    <row r="1163" spans="1:32" s="12" customFormat="1" ht="15.75" customHeight="1">
      <c r="A1163" s="285"/>
      <c r="B1163" s="47" t="s">
        <v>254</v>
      </c>
      <c r="C1163" s="37" t="s">
        <v>19</v>
      </c>
      <c r="D1163" s="37" t="s">
        <v>69</v>
      </c>
      <c r="E1163" s="37" t="s">
        <v>33</v>
      </c>
      <c r="F1163" s="37" t="s">
        <v>783</v>
      </c>
      <c r="G1163" s="37" t="s">
        <v>90</v>
      </c>
      <c r="H1163" s="183">
        <f>H1164</f>
        <v>65484.95</v>
      </c>
      <c r="I1163" s="183">
        <f>I1164</f>
        <v>65515.69</v>
      </c>
      <c r="J1163" s="183">
        <f>J1164</f>
        <v>65547.67</v>
      </c>
      <c r="K1163" s="183">
        <v>65484.95</v>
      </c>
      <c r="L1163" s="183">
        <v>65515.69</v>
      </c>
      <c r="M1163" s="183">
        <v>65547.67</v>
      </c>
      <c r="N1163" s="183"/>
      <c r="O1163" s="183">
        <v>65484.95</v>
      </c>
      <c r="P1163" s="183">
        <v>65515.69</v>
      </c>
      <c r="Q1163" s="183">
        <v>65547.67</v>
      </c>
      <c r="R1163" s="472">
        <f t="shared" si="464"/>
        <v>0</v>
      </c>
      <c r="S1163" s="472">
        <f t="shared" si="465"/>
        <v>0</v>
      </c>
      <c r="T1163" s="472">
        <f t="shared" si="466"/>
        <v>0</v>
      </c>
      <c r="U1163" s="47" t="s">
        <v>254</v>
      </c>
      <c r="V1163" s="37" t="s">
        <v>19</v>
      </c>
      <c r="W1163" s="37" t="s">
        <v>69</v>
      </c>
      <c r="X1163" s="37" t="s">
        <v>33</v>
      </c>
      <c r="Y1163" s="37" t="s">
        <v>783</v>
      </c>
      <c r="Z1163" s="37" t="s">
        <v>90</v>
      </c>
      <c r="AA1163" s="12" t="b">
        <f t="shared" si="452"/>
        <v>1</v>
      </c>
      <c r="AB1163" s="12" t="b">
        <f t="shared" si="453"/>
        <v>1</v>
      </c>
      <c r="AC1163" s="12" t="b">
        <f t="shared" si="454"/>
        <v>1</v>
      </c>
      <c r="AD1163" s="12" t="b">
        <f t="shared" si="455"/>
        <v>1</v>
      </c>
      <c r="AE1163" s="12" t="b">
        <f t="shared" si="456"/>
        <v>1</v>
      </c>
      <c r="AF1163" s="12" t="b">
        <f t="shared" si="457"/>
        <v>1</v>
      </c>
    </row>
    <row r="1164" spans="1:32" s="12" customFormat="1" ht="15.75" customHeight="1">
      <c r="A1164" s="285"/>
      <c r="B1164" s="65" t="s">
        <v>132</v>
      </c>
      <c r="C1164" s="57" t="s">
        <v>19</v>
      </c>
      <c r="D1164" s="57" t="s">
        <v>69</v>
      </c>
      <c r="E1164" s="57" t="s">
        <v>33</v>
      </c>
      <c r="F1164" s="57" t="s">
        <v>783</v>
      </c>
      <c r="G1164" s="57" t="s">
        <v>171</v>
      </c>
      <c r="H1164" s="58">
        <v>65484.95</v>
      </c>
      <c r="I1164" s="183">
        <v>65515.69</v>
      </c>
      <c r="J1164" s="58">
        <v>65547.67</v>
      </c>
      <c r="K1164" s="58">
        <v>65484.95</v>
      </c>
      <c r="L1164" s="58">
        <v>65515.69</v>
      </c>
      <c r="M1164" s="58">
        <v>65547.67</v>
      </c>
      <c r="N1164" s="58"/>
      <c r="O1164" s="58">
        <v>65484.95</v>
      </c>
      <c r="P1164" s="58">
        <v>65515.69</v>
      </c>
      <c r="Q1164" s="58">
        <v>65547.67</v>
      </c>
      <c r="R1164" s="472">
        <f t="shared" si="464"/>
        <v>0</v>
      </c>
      <c r="S1164" s="472">
        <f t="shared" si="465"/>
        <v>0</v>
      </c>
      <c r="T1164" s="472">
        <f t="shared" si="466"/>
        <v>0</v>
      </c>
      <c r="U1164" s="65" t="s">
        <v>132</v>
      </c>
      <c r="V1164" s="57" t="s">
        <v>19</v>
      </c>
      <c r="W1164" s="57" t="s">
        <v>69</v>
      </c>
      <c r="X1164" s="57" t="s">
        <v>33</v>
      </c>
      <c r="Y1164" s="57" t="s">
        <v>783</v>
      </c>
      <c r="Z1164" s="57" t="s">
        <v>171</v>
      </c>
      <c r="AA1164" s="12" t="b">
        <f t="shared" si="452"/>
        <v>1</v>
      </c>
      <c r="AB1164" s="12" t="b">
        <f t="shared" si="453"/>
        <v>1</v>
      </c>
      <c r="AC1164" s="12" t="b">
        <f t="shared" si="454"/>
        <v>1</v>
      </c>
      <c r="AD1164" s="12" t="b">
        <f t="shared" si="455"/>
        <v>1</v>
      </c>
      <c r="AE1164" s="12" t="b">
        <f t="shared" si="456"/>
        <v>1</v>
      </c>
      <c r="AF1164" s="12" t="b">
        <f t="shared" si="457"/>
        <v>1</v>
      </c>
    </row>
    <row r="1165" spans="1:32" s="12" customFormat="1" ht="15.75" customHeight="1">
      <c r="A1165" s="285"/>
      <c r="B1165" s="182" t="s">
        <v>213</v>
      </c>
      <c r="C1165" s="37" t="s">
        <v>19</v>
      </c>
      <c r="D1165" s="37" t="s">
        <v>69</v>
      </c>
      <c r="E1165" s="37" t="s">
        <v>33</v>
      </c>
      <c r="F1165" s="37" t="s">
        <v>560</v>
      </c>
      <c r="G1165" s="36" t="s">
        <v>90</v>
      </c>
      <c r="H1165" s="69">
        <f>H1166</f>
        <v>11767.32</v>
      </c>
      <c r="I1165" s="69">
        <f>I1166</f>
        <v>9923.06</v>
      </c>
      <c r="J1165" s="69">
        <f>J1166</f>
        <v>10074.99</v>
      </c>
      <c r="K1165" s="69">
        <v>11767.32</v>
      </c>
      <c r="L1165" s="69">
        <v>9923.06</v>
      </c>
      <c r="M1165" s="69">
        <v>10074.99</v>
      </c>
      <c r="N1165" s="69"/>
      <c r="O1165" s="69">
        <v>11767.32</v>
      </c>
      <c r="P1165" s="69">
        <v>9923.06</v>
      </c>
      <c r="Q1165" s="69">
        <v>10074.99</v>
      </c>
      <c r="R1165" s="472">
        <f t="shared" si="464"/>
        <v>0</v>
      </c>
      <c r="S1165" s="472">
        <f t="shared" si="465"/>
        <v>0</v>
      </c>
      <c r="T1165" s="472">
        <f t="shared" si="466"/>
        <v>0</v>
      </c>
      <c r="U1165" s="182" t="s">
        <v>213</v>
      </c>
      <c r="V1165" s="37" t="s">
        <v>19</v>
      </c>
      <c r="W1165" s="37" t="s">
        <v>69</v>
      </c>
      <c r="X1165" s="37" t="s">
        <v>33</v>
      </c>
      <c r="Y1165" s="37" t="s">
        <v>560</v>
      </c>
      <c r="Z1165" s="36" t="s">
        <v>90</v>
      </c>
      <c r="AA1165" s="12" t="b">
        <f t="shared" si="452"/>
        <v>1</v>
      </c>
      <c r="AB1165" s="12" t="b">
        <f t="shared" si="453"/>
        <v>1</v>
      </c>
      <c r="AC1165" s="12" t="b">
        <f t="shared" si="454"/>
        <v>1</v>
      </c>
      <c r="AD1165" s="12" t="b">
        <f t="shared" si="455"/>
        <v>1</v>
      </c>
      <c r="AE1165" s="12" t="b">
        <f t="shared" si="456"/>
        <v>1</v>
      </c>
      <c r="AF1165" s="12" t="b">
        <f t="shared" si="457"/>
        <v>1</v>
      </c>
    </row>
    <row r="1166" spans="1:32" s="12" customFormat="1" ht="15.75" customHeight="1">
      <c r="A1166" s="285"/>
      <c r="B1166" s="182" t="s">
        <v>145</v>
      </c>
      <c r="C1166" s="37" t="s">
        <v>19</v>
      </c>
      <c r="D1166" s="37" t="s">
        <v>69</v>
      </c>
      <c r="E1166" s="37" t="s">
        <v>33</v>
      </c>
      <c r="F1166" s="37" t="s">
        <v>560</v>
      </c>
      <c r="G1166" s="36" t="s">
        <v>153</v>
      </c>
      <c r="H1166" s="69">
        <f>8115.33+3651.99</f>
        <v>11767.32</v>
      </c>
      <c r="I1166" s="69">
        <f>6124.99+3798.07</f>
        <v>9923.06</v>
      </c>
      <c r="J1166" s="69">
        <f>6124.99+3950</f>
        <v>10074.99</v>
      </c>
      <c r="K1166" s="69">
        <v>11767.32</v>
      </c>
      <c r="L1166" s="69">
        <v>9923.06</v>
      </c>
      <c r="M1166" s="69">
        <v>10074.99</v>
      </c>
      <c r="N1166" s="69"/>
      <c r="O1166" s="69">
        <v>11767.32</v>
      </c>
      <c r="P1166" s="69">
        <v>9923.06</v>
      </c>
      <c r="Q1166" s="69">
        <v>10074.99</v>
      </c>
      <c r="R1166" s="472">
        <f t="shared" si="464"/>
        <v>0</v>
      </c>
      <c r="S1166" s="472">
        <f t="shared" si="465"/>
        <v>0</v>
      </c>
      <c r="T1166" s="472">
        <f t="shared" si="466"/>
        <v>0</v>
      </c>
      <c r="U1166" s="182" t="s">
        <v>145</v>
      </c>
      <c r="V1166" s="37" t="s">
        <v>19</v>
      </c>
      <c r="W1166" s="37" t="s">
        <v>69</v>
      </c>
      <c r="X1166" s="37" t="s">
        <v>33</v>
      </c>
      <c r="Y1166" s="37" t="s">
        <v>560</v>
      </c>
      <c r="Z1166" s="36" t="s">
        <v>153</v>
      </c>
      <c r="AA1166" s="12" t="b">
        <f t="shared" ref="AA1166:AA1220" si="470">B1166=U1166</f>
        <v>1</v>
      </c>
      <c r="AB1166" s="12" t="b">
        <f t="shared" ref="AB1166:AB1220" si="471">C1166=V1166</f>
        <v>1</v>
      </c>
      <c r="AC1166" s="12" t="b">
        <f t="shared" ref="AC1166:AC1220" si="472">D1166=W1166</f>
        <v>1</v>
      </c>
      <c r="AD1166" s="12" t="b">
        <f t="shared" ref="AD1166:AD1220" si="473">E1166=X1166</f>
        <v>1</v>
      </c>
      <c r="AE1166" s="12" t="b">
        <f t="shared" ref="AE1166:AE1220" si="474">F1166=Y1166</f>
        <v>1</v>
      </c>
      <c r="AF1166" s="12" t="b">
        <f t="shared" ref="AF1166:AF1220" si="475">G1166=Z1166</f>
        <v>1</v>
      </c>
    </row>
    <row r="1167" spans="1:32" s="12" customFormat="1" ht="15.75" customHeight="1">
      <c r="A1167" s="285"/>
      <c r="B1167" s="182" t="s">
        <v>667</v>
      </c>
      <c r="C1167" s="37" t="s">
        <v>19</v>
      </c>
      <c r="D1167" s="37" t="s">
        <v>69</v>
      </c>
      <c r="E1167" s="37" t="s">
        <v>33</v>
      </c>
      <c r="F1167" s="37" t="s">
        <v>255</v>
      </c>
      <c r="G1167" s="37" t="s">
        <v>90</v>
      </c>
      <c r="H1167" s="183">
        <f t="shared" ref="H1167:J1170" si="476">H1168</f>
        <v>656.23</v>
      </c>
      <c r="I1167" s="183">
        <f t="shared" si="476"/>
        <v>656.23</v>
      </c>
      <c r="J1167" s="183">
        <f t="shared" si="476"/>
        <v>656.23</v>
      </c>
      <c r="K1167" s="183">
        <v>656.23</v>
      </c>
      <c r="L1167" s="183">
        <v>656.23</v>
      </c>
      <c r="M1167" s="183">
        <v>656.23</v>
      </c>
      <c r="N1167" s="183"/>
      <c r="O1167" s="183">
        <v>656.23</v>
      </c>
      <c r="P1167" s="183">
        <v>656.23</v>
      </c>
      <c r="Q1167" s="183">
        <v>656.23</v>
      </c>
      <c r="R1167" s="472">
        <f t="shared" si="464"/>
        <v>0</v>
      </c>
      <c r="S1167" s="472">
        <f t="shared" si="465"/>
        <v>0</v>
      </c>
      <c r="T1167" s="472">
        <f t="shared" si="466"/>
        <v>0</v>
      </c>
      <c r="U1167" s="182" t="s">
        <v>667</v>
      </c>
      <c r="V1167" s="37" t="s">
        <v>19</v>
      </c>
      <c r="W1167" s="37" t="s">
        <v>69</v>
      </c>
      <c r="X1167" s="37" t="s">
        <v>33</v>
      </c>
      <c r="Y1167" s="37" t="s">
        <v>255</v>
      </c>
      <c r="Z1167" s="37" t="s">
        <v>90</v>
      </c>
      <c r="AA1167" s="12" t="b">
        <f t="shared" si="470"/>
        <v>1</v>
      </c>
      <c r="AB1167" s="12" t="b">
        <f t="shared" si="471"/>
        <v>1</v>
      </c>
      <c r="AC1167" s="12" t="b">
        <f t="shared" si="472"/>
        <v>1</v>
      </c>
      <c r="AD1167" s="12" t="b">
        <f t="shared" si="473"/>
        <v>1</v>
      </c>
      <c r="AE1167" s="12" t="b">
        <f t="shared" si="474"/>
        <v>1</v>
      </c>
      <c r="AF1167" s="12" t="b">
        <f t="shared" si="475"/>
        <v>1</v>
      </c>
    </row>
    <row r="1168" spans="1:32" s="12" customFormat="1" ht="15.75" customHeight="1">
      <c r="A1168" s="285"/>
      <c r="B1168" s="182" t="s">
        <v>814</v>
      </c>
      <c r="C1168" s="37" t="s">
        <v>19</v>
      </c>
      <c r="D1168" s="37" t="s">
        <v>69</v>
      </c>
      <c r="E1168" s="37" t="s">
        <v>33</v>
      </c>
      <c r="F1168" s="37" t="s">
        <v>256</v>
      </c>
      <c r="G1168" s="37" t="s">
        <v>90</v>
      </c>
      <c r="H1168" s="183">
        <f t="shared" si="476"/>
        <v>656.23</v>
      </c>
      <c r="I1168" s="183">
        <f t="shared" si="476"/>
        <v>656.23</v>
      </c>
      <c r="J1168" s="183">
        <f t="shared" si="476"/>
        <v>656.23</v>
      </c>
      <c r="K1168" s="183">
        <v>656.23</v>
      </c>
      <c r="L1168" s="183">
        <v>656.23</v>
      </c>
      <c r="M1168" s="183">
        <v>656.23</v>
      </c>
      <c r="N1168" s="183"/>
      <c r="O1168" s="183">
        <v>656.23</v>
      </c>
      <c r="P1168" s="183">
        <v>656.23</v>
      </c>
      <c r="Q1168" s="183">
        <v>656.23</v>
      </c>
      <c r="R1168" s="472">
        <f t="shared" si="464"/>
        <v>0</v>
      </c>
      <c r="S1168" s="472">
        <f t="shared" si="465"/>
        <v>0</v>
      </c>
      <c r="T1168" s="472">
        <f t="shared" si="466"/>
        <v>0</v>
      </c>
      <c r="U1168" s="182" t="s">
        <v>814</v>
      </c>
      <c r="V1168" s="37" t="s">
        <v>19</v>
      </c>
      <c r="W1168" s="37" t="s">
        <v>69</v>
      </c>
      <c r="X1168" s="37" t="s">
        <v>33</v>
      </c>
      <c r="Y1168" s="37" t="s">
        <v>256</v>
      </c>
      <c r="Z1168" s="37" t="s">
        <v>90</v>
      </c>
      <c r="AA1168" s="12" t="b">
        <f t="shared" si="470"/>
        <v>1</v>
      </c>
      <c r="AB1168" s="12" t="b">
        <f t="shared" si="471"/>
        <v>1</v>
      </c>
      <c r="AC1168" s="12" t="b">
        <f t="shared" si="472"/>
        <v>1</v>
      </c>
      <c r="AD1168" s="12" t="b">
        <f t="shared" si="473"/>
        <v>1</v>
      </c>
      <c r="AE1168" s="12" t="b">
        <f t="shared" si="474"/>
        <v>1</v>
      </c>
      <c r="AF1168" s="12" t="b">
        <f t="shared" si="475"/>
        <v>1</v>
      </c>
    </row>
    <row r="1169" spans="1:32" s="12" customFormat="1" ht="15.75" customHeight="1">
      <c r="A1169" s="285"/>
      <c r="B1169" s="182" t="s">
        <v>1023</v>
      </c>
      <c r="C1169" s="37" t="s">
        <v>19</v>
      </c>
      <c r="D1169" s="37" t="s">
        <v>69</v>
      </c>
      <c r="E1169" s="37" t="s">
        <v>33</v>
      </c>
      <c r="F1169" s="37" t="s">
        <v>1022</v>
      </c>
      <c r="G1169" s="37" t="s">
        <v>90</v>
      </c>
      <c r="H1169" s="183">
        <f t="shared" si="476"/>
        <v>656.23</v>
      </c>
      <c r="I1169" s="183">
        <f t="shared" si="476"/>
        <v>656.23</v>
      </c>
      <c r="J1169" s="183">
        <f t="shared" si="476"/>
        <v>656.23</v>
      </c>
      <c r="K1169" s="183">
        <v>656.23</v>
      </c>
      <c r="L1169" s="183">
        <v>656.23</v>
      </c>
      <c r="M1169" s="183">
        <v>656.23</v>
      </c>
      <c r="N1169" s="183"/>
      <c r="O1169" s="183">
        <v>656.23</v>
      </c>
      <c r="P1169" s="183">
        <v>656.23</v>
      </c>
      <c r="Q1169" s="183">
        <v>656.23</v>
      </c>
      <c r="R1169" s="472">
        <f t="shared" si="464"/>
        <v>0</v>
      </c>
      <c r="S1169" s="472">
        <f t="shared" si="465"/>
        <v>0</v>
      </c>
      <c r="T1169" s="472">
        <f t="shared" si="466"/>
        <v>0</v>
      </c>
      <c r="U1169" s="182" t="s">
        <v>1023</v>
      </c>
      <c r="V1169" s="37" t="s">
        <v>19</v>
      </c>
      <c r="W1169" s="37" t="s">
        <v>69</v>
      </c>
      <c r="X1169" s="37" t="s">
        <v>33</v>
      </c>
      <c r="Y1169" s="37" t="s">
        <v>1022</v>
      </c>
      <c r="Z1169" s="37" t="s">
        <v>90</v>
      </c>
      <c r="AA1169" s="12" t="b">
        <f t="shared" si="470"/>
        <v>1</v>
      </c>
      <c r="AB1169" s="12" t="b">
        <f t="shared" si="471"/>
        <v>1</v>
      </c>
      <c r="AC1169" s="12" t="b">
        <f t="shared" si="472"/>
        <v>1</v>
      </c>
      <c r="AD1169" s="12" t="b">
        <f t="shared" si="473"/>
        <v>1</v>
      </c>
      <c r="AE1169" s="12" t="b">
        <f t="shared" si="474"/>
        <v>1</v>
      </c>
      <c r="AF1169" s="12" t="b">
        <f t="shared" si="475"/>
        <v>1</v>
      </c>
    </row>
    <row r="1170" spans="1:32" s="12" customFormat="1" ht="15.75" customHeight="1">
      <c r="A1170" s="285"/>
      <c r="B1170" s="23" t="s">
        <v>1028</v>
      </c>
      <c r="C1170" s="37" t="s">
        <v>19</v>
      </c>
      <c r="D1170" s="37" t="s">
        <v>69</v>
      </c>
      <c r="E1170" s="37" t="s">
        <v>33</v>
      </c>
      <c r="F1170" s="37" t="s">
        <v>1027</v>
      </c>
      <c r="G1170" s="37" t="s">
        <v>90</v>
      </c>
      <c r="H1170" s="183">
        <f t="shared" si="476"/>
        <v>656.23</v>
      </c>
      <c r="I1170" s="183">
        <f t="shared" si="476"/>
        <v>656.23</v>
      </c>
      <c r="J1170" s="183">
        <f t="shared" si="476"/>
        <v>656.23</v>
      </c>
      <c r="K1170" s="183">
        <v>656.23</v>
      </c>
      <c r="L1170" s="183">
        <v>656.23</v>
      </c>
      <c r="M1170" s="183">
        <v>656.23</v>
      </c>
      <c r="N1170" s="183"/>
      <c r="O1170" s="183">
        <v>656.23</v>
      </c>
      <c r="P1170" s="183">
        <v>656.23</v>
      </c>
      <c r="Q1170" s="183">
        <v>656.23</v>
      </c>
      <c r="R1170" s="472">
        <f t="shared" si="464"/>
        <v>0</v>
      </c>
      <c r="S1170" s="472">
        <f t="shared" si="465"/>
        <v>0</v>
      </c>
      <c r="T1170" s="472">
        <f t="shared" si="466"/>
        <v>0</v>
      </c>
      <c r="U1170" s="23" t="s">
        <v>1028</v>
      </c>
      <c r="V1170" s="37" t="s">
        <v>19</v>
      </c>
      <c r="W1170" s="37" t="s">
        <v>69</v>
      </c>
      <c r="X1170" s="37" t="s">
        <v>33</v>
      </c>
      <c r="Y1170" s="37" t="s">
        <v>1027</v>
      </c>
      <c r="Z1170" s="37" t="s">
        <v>90</v>
      </c>
      <c r="AA1170" s="12" t="b">
        <f t="shared" si="470"/>
        <v>1</v>
      </c>
      <c r="AB1170" s="12" t="b">
        <f t="shared" si="471"/>
        <v>1</v>
      </c>
      <c r="AC1170" s="12" t="b">
        <f t="shared" si="472"/>
        <v>1</v>
      </c>
      <c r="AD1170" s="12" t="b">
        <f t="shared" si="473"/>
        <v>1</v>
      </c>
      <c r="AE1170" s="12" t="b">
        <f t="shared" si="474"/>
        <v>1</v>
      </c>
      <c r="AF1170" s="12" t="b">
        <f t="shared" si="475"/>
        <v>1</v>
      </c>
    </row>
    <row r="1171" spans="1:32" s="12" customFormat="1" ht="15.75" customHeight="1">
      <c r="A1171" s="285"/>
      <c r="B1171" s="23" t="s">
        <v>132</v>
      </c>
      <c r="C1171" s="37" t="s">
        <v>19</v>
      </c>
      <c r="D1171" s="37" t="s">
        <v>69</v>
      </c>
      <c r="E1171" s="37" t="s">
        <v>33</v>
      </c>
      <c r="F1171" s="37" t="s">
        <v>1027</v>
      </c>
      <c r="G1171" s="37" t="s">
        <v>171</v>
      </c>
      <c r="H1171" s="183">
        <v>656.23</v>
      </c>
      <c r="I1171" s="183">
        <v>656.23</v>
      </c>
      <c r="J1171" s="183">
        <v>656.23</v>
      </c>
      <c r="K1171" s="183">
        <v>656.23</v>
      </c>
      <c r="L1171" s="183">
        <v>656.23</v>
      </c>
      <c r="M1171" s="183">
        <v>656.23</v>
      </c>
      <c r="N1171" s="183"/>
      <c r="O1171" s="183">
        <v>656.23</v>
      </c>
      <c r="P1171" s="183">
        <v>656.23</v>
      </c>
      <c r="Q1171" s="183">
        <v>656.23</v>
      </c>
      <c r="R1171" s="472">
        <f t="shared" si="464"/>
        <v>0</v>
      </c>
      <c r="S1171" s="472">
        <f t="shared" si="465"/>
        <v>0</v>
      </c>
      <c r="T1171" s="472">
        <f t="shared" si="466"/>
        <v>0</v>
      </c>
      <c r="U1171" s="23" t="s">
        <v>132</v>
      </c>
      <c r="V1171" s="37" t="s">
        <v>19</v>
      </c>
      <c r="W1171" s="37" t="s">
        <v>69</v>
      </c>
      <c r="X1171" s="37" t="s">
        <v>33</v>
      </c>
      <c r="Y1171" s="37" t="s">
        <v>1027</v>
      </c>
      <c r="Z1171" s="37" t="s">
        <v>171</v>
      </c>
      <c r="AA1171" s="12" t="b">
        <f t="shared" si="470"/>
        <v>1</v>
      </c>
      <c r="AB1171" s="12" t="b">
        <f t="shared" si="471"/>
        <v>1</v>
      </c>
      <c r="AC1171" s="12" t="b">
        <f t="shared" si="472"/>
        <v>1</v>
      </c>
      <c r="AD1171" s="12" t="b">
        <f t="shared" si="473"/>
        <v>1</v>
      </c>
      <c r="AE1171" s="12" t="b">
        <f t="shared" si="474"/>
        <v>1</v>
      </c>
      <c r="AF1171" s="12" t="b">
        <f t="shared" si="475"/>
        <v>1</v>
      </c>
    </row>
    <row r="1172" spans="1:32" s="12" customFormat="1" ht="15.75" customHeight="1">
      <c r="A1172" s="285"/>
      <c r="B1172" s="28" t="s">
        <v>6</v>
      </c>
      <c r="C1172" s="29" t="s">
        <v>19</v>
      </c>
      <c r="D1172" s="30" t="s">
        <v>7</v>
      </c>
      <c r="E1172" s="30" t="s">
        <v>83</v>
      </c>
      <c r="F1172" s="30" t="s">
        <v>223</v>
      </c>
      <c r="G1172" s="30" t="s">
        <v>90</v>
      </c>
      <c r="H1172" s="31">
        <f>H1173+H1179+H1218</f>
        <v>529051.54</v>
      </c>
      <c r="I1172" s="31">
        <f>I1173+I1179+I1218</f>
        <v>327555.5</v>
      </c>
      <c r="J1172" s="31">
        <f>J1173+J1179+J1218</f>
        <v>323618.32</v>
      </c>
      <c r="K1172" s="31">
        <v>336884.57</v>
      </c>
      <c r="L1172" s="31">
        <v>327555.5</v>
      </c>
      <c r="M1172" s="31">
        <v>323618.32</v>
      </c>
      <c r="N1172" s="31"/>
      <c r="O1172" s="31">
        <v>330719.37999999995</v>
      </c>
      <c r="P1172" s="31">
        <v>327522.64</v>
      </c>
      <c r="Q1172" s="31">
        <v>323585.45999999996</v>
      </c>
      <c r="R1172" s="472">
        <f t="shared" si="464"/>
        <v>198332.16000000009</v>
      </c>
      <c r="S1172" s="472">
        <f t="shared" si="465"/>
        <v>32.85999999998603</v>
      </c>
      <c r="T1172" s="472">
        <f t="shared" si="466"/>
        <v>32.860000000044238</v>
      </c>
      <c r="U1172" s="28" t="s">
        <v>6</v>
      </c>
      <c r="V1172" s="29" t="s">
        <v>19</v>
      </c>
      <c r="W1172" s="30" t="s">
        <v>7</v>
      </c>
      <c r="X1172" s="30" t="s">
        <v>83</v>
      </c>
      <c r="Y1172" s="30" t="s">
        <v>223</v>
      </c>
      <c r="Z1172" s="30" t="s">
        <v>90</v>
      </c>
      <c r="AA1172" s="12" t="b">
        <f t="shared" si="470"/>
        <v>1</v>
      </c>
      <c r="AB1172" s="12" t="b">
        <f t="shared" si="471"/>
        <v>1</v>
      </c>
      <c r="AC1172" s="12" t="b">
        <f t="shared" si="472"/>
        <v>1</v>
      </c>
      <c r="AD1172" s="12" t="b">
        <f t="shared" si="473"/>
        <v>1</v>
      </c>
      <c r="AE1172" s="12" t="b">
        <f t="shared" si="474"/>
        <v>1</v>
      </c>
      <c r="AF1172" s="12" t="b">
        <f t="shared" si="475"/>
        <v>1</v>
      </c>
    </row>
    <row r="1173" spans="1:32" s="12" customFormat="1" ht="15.75" customHeight="1">
      <c r="A1173" s="285"/>
      <c r="B1173" s="32" t="s">
        <v>9</v>
      </c>
      <c r="C1173" s="33">
        <v>620</v>
      </c>
      <c r="D1173" s="34" t="s">
        <v>7</v>
      </c>
      <c r="E1173" s="34" t="s">
        <v>99</v>
      </c>
      <c r="F1173" s="34" t="s">
        <v>223</v>
      </c>
      <c r="G1173" s="34" t="s">
        <v>90</v>
      </c>
      <c r="H1173" s="35">
        <f t="shared" ref="H1173:J1177" si="477">H1174</f>
        <v>81.86</v>
      </c>
      <c r="I1173" s="35">
        <f t="shared" si="477"/>
        <v>81.86</v>
      </c>
      <c r="J1173" s="35">
        <f t="shared" si="477"/>
        <v>81.86</v>
      </c>
      <c r="K1173" s="35">
        <v>81.86</v>
      </c>
      <c r="L1173" s="35">
        <v>81.86</v>
      </c>
      <c r="M1173" s="35">
        <v>81.86</v>
      </c>
      <c r="N1173" s="35"/>
      <c r="O1173" s="35">
        <v>81.86</v>
      </c>
      <c r="P1173" s="35">
        <v>81.86</v>
      </c>
      <c r="Q1173" s="35">
        <v>81.86</v>
      </c>
      <c r="R1173" s="472">
        <f t="shared" si="464"/>
        <v>0</v>
      </c>
      <c r="S1173" s="472">
        <f t="shared" si="465"/>
        <v>0</v>
      </c>
      <c r="T1173" s="472">
        <f t="shared" si="466"/>
        <v>0</v>
      </c>
      <c r="U1173" s="32" t="s">
        <v>9</v>
      </c>
      <c r="V1173" s="33">
        <v>620</v>
      </c>
      <c r="W1173" s="34" t="s">
        <v>7</v>
      </c>
      <c r="X1173" s="34" t="s">
        <v>99</v>
      </c>
      <c r="Y1173" s="34" t="s">
        <v>223</v>
      </c>
      <c r="Z1173" s="34" t="s">
        <v>90</v>
      </c>
      <c r="AA1173" s="12" t="b">
        <f t="shared" si="470"/>
        <v>1</v>
      </c>
      <c r="AB1173" s="12" t="b">
        <f t="shared" si="471"/>
        <v>1</v>
      </c>
      <c r="AC1173" s="12" t="b">
        <f t="shared" si="472"/>
        <v>1</v>
      </c>
      <c r="AD1173" s="12" t="b">
        <f t="shared" si="473"/>
        <v>1</v>
      </c>
      <c r="AE1173" s="12" t="b">
        <f t="shared" si="474"/>
        <v>1</v>
      </c>
      <c r="AF1173" s="12" t="b">
        <f t="shared" si="475"/>
        <v>1</v>
      </c>
    </row>
    <row r="1174" spans="1:32" s="12" customFormat="1" ht="15.75" customHeight="1">
      <c r="A1174" s="285"/>
      <c r="B1174" s="23" t="s">
        <v>1166</v>
      </c>
      <c r="C1174" s="89">
        <v>620</v>
      </c>
      <c r="D1174" s="37" t="s">
        <v>7</v>
      </c>
      <c r="E1174" s="37" t="s">
        <v>99</v>
      </c>
      <c r="F1174" s="70" t="s">
        <v>296</v>
      </c>
      <c r="G1174" s="37" t="s">
        <v>90</v>
      </c>
      <c r="H1174" s="69">
        <f t="shared" si="477"/>
        <v>81.86</v>
      </c>
      <c r="I1174" s="69">
        <f t="shared" si="477"/>
        <v>81.86</v>
      </c>
      <c r="J1174" s="69">
        <f t="shared" si="477"/>
        <v>81.86</v>
      </c>
      <c r="K1174" s="69">
        <v>81.86</v>
      </c>
      <c r="L1174" s="69">
        <v>81.86</v>
      </c>
      <c r="M1174" s="69">
        <v>81.86</v>
      </c>
      <c r="N1174" s="69"/>
      <c r="O1174" s="69">
        <v>81.86</v>
      </c>
      <c r="P1174" s="69">
        <v>81.86</v>
      </c>
      <c r="Q1174" s="69">
        <v>81.86</v>
      </c>
      <c r="R1174" s="472">
        <f t="shared" si="464"/>
        <v>0</v>
      </c>
      <c r="S1174" s="472">
        <f t="shared" si="465"/>
        <v>0</v>
      </c>
      <c r="T1174" s="472">
        <f t="shared" si="466"/>
        <v>0</v>
      </c>
      <c r="U1174" s="23" t="s">
        <v>1166</v>
      </c>
      <c r="V1174" s="89">
        <v>620</v>
      </c>
      <c r="W1174" s="37" t="s">
        <v>7</v>
      </c>
      <c r="X1174" s="37" t="s">
        <v>99</v>
      </c>
      <c r="Y1174" s="70" t="s">
        <v>296</v>
      </c>
      <c r="Z1174" s="37" t="s">
        <v>90</v>
      </c>
      <c r="AA1174" s="12" t="b">
        <f t="shared" si="470"/>
        <v>1</v>
      </c>
      <c r="AB1174" s="12" t="b">
        <f t="shared" si="471"/>
        <v>1</v>
      </c>
      <c r="AC1174" s="12" t="b">
        <f t="shared" si="472"/>
        <v>1</v>
      </c>
      <c r="AD1174" s="12" t="b">
        <f t="shared" si="473"/>
        <v>1</v>
      </c>
      <c r="AE1174" s="12" t="b">
        <f t="shared" si="474"/>
        <v>1</v>
      </c>
      <c r="AF1174" s="12" t="b">
        <f t="shared" si="475"/>
        <v>1</v>
      </c>
    </row>
    <row r="1175" spans="1:32" s="12" customFormat="1" ht="15.75" customHeight="1">
      <c r="A1175" s="285"/>
      <c r="B1175" s="182" t="s">
        <v>185</v>
      </c>
      <c r="C1175" s="89">
        <v>620</v>
      </c>
      <c r="D1175" s="37" t="s">
        <v>7</v>
      </c>
      <c r="E1175" s="37" t="s">
        <v>99</v>
      </c>
      <c r="F1175" s="70" t="s">
        <v>434</v>
      </c>
      <c r="G1175" s="37" t="s">
        <v>90</v>
      </c>
      <c r="H1175" s="69">
        <f>H1176</f>
        <v>81.86</v>
      </c>
      <c r="I1175" s="69">
        <f t="shared" si="477"/>
        <v>81.86</v>
      </c>
      <c r="J1175" s="69">
        <f t="shared" si="477"/>
        <v>81.86</v>
      </c>
      <c r="K1175" s="69">
        <v>81.86</v>
      </c>
      <c r="L1175" s="69">
        <v>81.86</v>
      </c>
      <c r="M1175" s="69">
        <v>81.86</v>
      </c>
      <c r="N1175" s="69"/>
      <c r="O1175" s="69">
        <v>81.86</v>
      </c>
      <c r="P1175" s="69">
        <v>81.86</v>
      </c>
      <c r="Q1175" s="69">
        <v>81.86</v>
      </c>
      <c r="R1175" s="472">
        <f t="shared" si="464"/>
        <v>0</v>
      </c>
      <c r="S1175" s="472">
        <f t="shared" si="465"/>
        <v>0</v>
      </c>
      <c r="T1175" s="472">
        <f t="shared" si="466"/>
        <v>0</v>
      </c>
      <c r="U1175" s="182" t="s">
        <v>185</v>
      </c>
      <c r="V1175" s="89">
        <v>620</v>
      </c>
      <c r="W1175" s="37" t="s">
        <v>7</v>
      </c>
      <c r="X1175" s="37" t="s">
        <v>99</v>
      </c>
      <c r="Y1175" s="70" t="s">
        <v>434</v>
      </c>
      <c r="Z1175" s="37" t="s">
        <v>90</v>
      </c>
      <c r="AA1175" s="12" t="b">
        <f t="shared" si="470"/>
        <v>1</v>
      </c>
      <c r="AB1175" s="12" t="b">
        <f t="shared" si="471"/>
        <v>1</v>
      </c>
      <c r="AC1175" s="12" t="b">
        <f t="shared" si="472"/>
        <v>1</v>
      </c>
      <c r="AD1175" s="12" t="b">
        <f t="shared" si="473"/>
        <v>1</v>
      </c>
      <c r="AE1175" s="12" t="b">
        <f t="shared" si="474"/>
        <v>1</v>
      </c>
      <c r="AF1175" s="12" t="b">
        <f t="shared" si="475"/>
        <v>1</v>
      </c>
    </row>
    <row r="1176" spans="1:32" s="12" customFormat="1" ht="15.75" customHeight="1">
      <c r="A1176" s="285"/>
      <c r="B1176" s="178" t="s">
        <v>1231</v>
      </c>
      <c r="C1176" s="89">
        <v>620</v>
      </c>
      <c r="D1176" s="37" t="s">
        <v>7</v>
      </c>
      <c r="E1176" s="37" t="s">
        <v>99</v>
      </c>
      <c r="F1176" s="70" t="s">
        <v>455</v>
      </c>
      <c r="G1176" s="37" t="s">
        <v>90</v>
      </c>
      <c r="H1176" s="69">
        <f t="shared" si="477"/>
        <v>81.86</v>
      </c>
      <c r="I1176" s="69">
        <f t="shared" si="477"/>
        <v>81.86</v>
      </c>
      <c r="J1176" s="69">
        <f t="shared" si="477"/>
        <v>81.86</v>
      </c>
      <c r="K1176" s="69">
        <v>81.86</v>
      </c>
      <c r="L1176" s="69">
        <v>81.86</v>
      </c>
      <c r="M1176" s="69">
        <v>81.86</v>
      </c>
      <c r="N1176" s="69"/>
      <c r="O1176" s="69">
        <v>81.86</v>
      </c>
      <c r="P1176" s="69">
        <v>81.86</v>
      </c>
      <c r="Q1176" s="69">
        <v>81.86</v>
      </c>
      <c r="R1176" s="472">
        <f t="shared" si="464"/>
        <v>0</v>
      </c>
      <c r="S1176" s="472">
        <f t="shared" si="465"/>
        <v>0</v>
      </c>
      <c r="T1176" s="472">
        <f t="shared" si="466"/>
        <v>0</v>
      </c>
      <c r="U1176" s="182" t="s">
        <v>574</v>
      </c>
      <c r="V1176" s="89">
        <v>620</v>
      </c>
      <c r="W1176" s="37" t="s">
        <v>7</v>
      </c>
      <c r="X1176" s="37" t="s">
        <v>99</v>
      </c>
      <c r="Y1176" s="70" t="s">
        <v>455</v>
      </c>
      <c r="Z1176" s="37" t="s">
        <v>90</v>
      </c>
      <c r="AA1176" s="12" t="b">
        <f t="shared" si="470"/>
        <v>0</v>
      </c>
      <c r="AB1176" s="12" t="b">
        <f t="shared" si="471"/>
        <v>1</v>
      </c>
      <c r="AC1176" s="12" t="b">
        <f t="shared" si="472"/>
        <v>1</v>
      </c>
      <c r="AD1176" s="12" t="b">
        <f t="shared" si="473"/>
        <v>1</v>
      </c>
      <c r="AE1176" s="12" t="b">
        <f t="shared" si="474"/>
        <v>1</v>
      </c>
      <c r="AF1176" s="12" t="b">
        <f t="shared" si="475"/>
        <v>1</v>
      </c>
    </row>
    <row r="1177" spans="1:32" s="12" customFormat="1" ht="15.75" customHeight="1">
      <c r="A1177" s="285"/>
      <c r="B1177" s="182" t="s">
        <v>575</v>
      </c>
      <c r="C1177" s="89">
        <v>620</v>
      </c>
      <c r="D1177" s="37" t="s">
        <v>7</v>
      </c>
      <c r="E1177" s="37" t="s">
        <v>99</v>
      </c>
      <c r="F1177" s="70" t="s">
        <v>456</v>
      </c>
      <c r="G1177" s="37" t="s">
        <v>90</v>
      </c>
      <c r="H1177" s="69">
        <f t="shared" si="477"/>
        <v>81.86</v>
      </c>
      <c r="I1177" s="69">
        <f t="shared" si="477"/>
        <v>81.86</v>
      </c>
      <c r="J1177" s="69">
        <f t="shared" si="477"/>
        <v>81.86</v>
      </c>
      <c r="K1177" s="69">
        <v>81.86</v>
      </c>
      <c r="L1177" s="69">
        <v>81.86</v>
      </c>
      <c r="M1177" s="69">
        <v>81.86</v>
      </c>
      <c r="N1177" s="69"/>
      <c r="O1177" s="69">
        <v>81.86</v>
      </c>
      <c r="P1177" s="69">
        <v>81.86</v>
      </c>
      <c r="Q1177" s="69">
        <v>81.86</v>
      </c>
      <c r="R1177" s="472">
        <f t="shared" si="464"/>
        <v>0</v>
      </c>
      <c r="S1177" s="472">
        <f t="shared" si="465"/>
        <v>0</v>
      </c>
      <c r="T1177" s="472">
        <f t="shared" si="466"/>
        <v>0</v>
      </c>
      <c r="U1177" s="182" t="s">
        <v>575</v>
      </c>
      <c r="V1177" s="89">
        <v>620</v>
      </c>
      <c r="W1177" s="37" t="s">
        <v>7</v>
      </c>
      <c r="X1177" s="37" t="s">
        <v>99</v>
      </c>
      <c r="Y1177" s="70" t="s">
        <v>456</v>
      </c>
      <c r="Z1177" s="37" t="s">
        <v>90</v>
      </c>
      <c r="AA1177" s="12" t="b">
        <f t="shared" si="470"/>
        <v>1</v>
      </c>
      <c r="AB1177" s="12" t="b">
        <f t="shared" si="471"/>
        <v>1</v>
      </c>
      <c r="AC1177" s="12" t="b">
        <f t="shared" si="472"/>
        <v>1</v>
      </c>
      <c r="AD1177" s="12" t="b">
        <f t="shared" si="473"/>
        <v>1</v>
      </c>
      <c r="AE1177" s="12" t="b">
        <f t="shared" si="474"/>
        <v>1</v>
      </c>
      <c r="AF1177" s="12" t="b">
        <f t="shared" si="475"/>
        <v>1</v>
      </c>
    </row>
    <row r="1178" spans="1:32" s="12" customFormat="1" ht="15.75" customHeight="1">
      <c r="A1178" s="285"/>
      <c r="B1178" s="182" t="s">
        <v>145</v>
      </c>
      <c r="C1178" s="37" t="s">
        <v>19</v>
      </c>
      <c r="D1178" s="37" t="s">
        <v>7</v>
      </c>
      <c r="E1178" s="37" t="s">
        <v>99</v>
      </c>
      <c r="F1178" s="70" t="s">
        <v>456</v>
      </c>
      <c r="G1178" s="37" t="s">
        <v>153</v>
      </c>
      <c r="H1178" s="69">
        <v>81.86</v>
      </c>
      <c r="I1178" s="69">
        <v>81.86</v>
      </c>
      <c r="J1178" s="69">
        <v>81.86</v>
      </c>
      <c r="K1178" s="69">
        <v>81.86</v>
      </c>
      <c r="L1178" s="69">
        <v>81.86</v>
      </c>
      <c r="M1178" s="69">
        <v>81.86</v>
      </c>
      <c r="N1178" s="69"/>
      <c r="O1178" s="69">
        <v>81.86</v>
      </c>
      <c r="P1178" s="69">
        <v>81.86</v>
      </c>
      <c r="Q1178" s="69">
        <v>81.86</v>
      </c>
      <c r="R1178" s="472">
        <f t="shared" si="464"/>
        <v>0</v>
      </c>
      <c r="S1178" s="472">
        <f t="shared" si="465"/>
        <v>0</v>
      </c>
      <c r="T1178" s="472">
        <f t="shared" si="466"/>
        <v>0</v>
      </c>
      <c r="U1178" s="182" t="s">
        <v>145</v>
      </c>
      <c r="V1178" s="37" t="s">
        <v>19</v>
      </c>
      <c r="W1178" s="37" t="s">
        <v>7</v>
      </c>
      <c r="X1178" s="37" t="s">
        <v>99</v>
      </c>
      <c r="Y1178" s="70" t="s">
        <v>456</v>
      </c>
      <c r="Z1178" s="37" t="s">
        <v>153</v>
      </c>
      <c r="AA1178" s="12" t="b">
        <f t="shared" si="470"/>
        <v>1</v>
      </c>
      <c r="AB1178" s="12" t="b">
        <f t="shared" si="471"/>
        <v>1</v>
      </c>
      <c r="AC1178" s="12" t="b">
        <f t="shared" si="472"/>
        <v>1</v>
      </c>
      <c r="AD1178" s="12" t="b">
        <f t="shared" si="473"/>
        <v>1</v>
      </c>
      <c r="AE1178" s="12" t="b">
        <f t="shared" si="474"/>
        <v>1</v>
      </c>
      <c r="AF1178" s="12" t="b">
        <f t="shared" si="475"/>
        <v>1</v>
      </c>
    </row>
    <row r="1179" spans="1:32" s="12" customFormat="1" ht="15.75" customHeight="1">
      <c r="A1179" s="285"/>
      <c r="B1179" s="32" t="s">
        <v>1</v>
      </c>
      <c r="C1179" s="33" t="s">
        <v>19</v>
      </c>
      <c r="D1179" s="34" t="s">
        <v>7</v>
      </c>
      <c r="E1179" s="34" t="s">
        <v>85</v>
      </c>
      <c r="F1179" s="34" t="s">
        <v>223</v>
      </c>
      <c r="G1179" s="34" t="s">
        <v>90</v>
      </c>
      <c r="H1179" s="35">
        <f>H1180+H1201+H1206</f>
        <v>463737.07000000007</v>
      </c>
      <c r="I1179" s="35">
        <f>I1180+I1201+I1206</f>
        <v>262197.88</v>
      </c>
      <c r="J1179" s="35">
        <f>J1180+J1201+J1206</f>
        <v>258215.82</v>
      </c>
      <c r="K1179" s="35">
        <v>271570.10000000003</v>
      </c>
      <c r="L1179" s="35">
        <v>262197.88</v>
      </c>
      <c r="M1179" s="35">
        <v>258215.82</v>
      </c>
      <c r="N1179" s="35"/>
      <c r="O1179" s="35">
        <v>265404.90999999997</v>
      </c>
      <c r="P1179" s="35">
        <v>262165.02</v>
      </c>
      <c r="Q1179" s="35">
        <v>258182.96</v>
      </c>
      <c r="R1179" s="472">
        <f t="shared" si="464"/>
        <v>198332.16000000009</v>
      </c>
      <c r="S1179" s="472">
        <f t="shared" si="465"/>
        <v>32.85999999998603</v>
      </c>
      <c r="T1179" s="472">
        <f t="shared" si="466"/>
        <v>32.860000000015134</v>
      </c>
      <c r="U1179" s="32" t="s">
        <v>1</v>
      </c>
      <c r="V1179" s="33" t="s">
        <v>19</v>
      </c>
      <c r="W1179" s="34" t="s">
        <v>7</v>
      </c>
      <c r="X1179" s="34" t="s">
        <v>85</v>
      </c>
      <c r="Y1179" s="34" t="s">
        <v>223</v>
      </c>
      <c r="Z1179" s="34" t="s">
        <v>90</v>
      </c>
      <c r="AA1179" s="12" t="b">
        <f t="shared" si="470"/>
        <v>1</v>
      </c>
      <c r="AB1179" s="12" t="b">
        <f t="shared" si="471"/>
        <v>1</v>
      </c>
      <c r="AC1179" s="12" t="b">
        <f t="shared" si="472"/>
        <v>1</v>
      </c>
      <c r="AD1179" s="12" t="b">
        <f t="shared" si="473"/>
        <v>1</v>
      </c>
      <c r="AE1179" s="12" t="b">
        <f t="shared" si="474"/>
        <v>1</v>
      </c>
      <c r="AF1179" s="12" t="b">
        <f t="shared" si="475"/>
        <v>1</v>
      </c>
    </row>
    <row r="1180" spans="1:32" s="12" customFormat="1" ht="15.75" customHeight="1">
      <c r="A1180" s="285"/>
      <c r="B1180" s="23" t="s">
        <v>1166</v>
      </c>
      <c r="C1180" s="37" t="s">
        <v>19</v>
      </c>
      <c r="D1180" s="37" t="s">
        <v>7</v>
      </c>
      <c r="E1180" s="37" t="s">
        <v>85</v>
      </c>
      <c r="F1180" s="37" t="s">
        <v>296</v>
      </c>
      <c r="G1180" s="37" t="s">
        <v>90</v>
      </c>
      <c r="H1180" s="69">
        <f>H1181</f>
        <v>263594.65000000002</v>
      </c>
      <c r="I1180" s="69">
        <f>I1181</f>
        <v>254222.43000000002</v>
      </c>
      <c r="J1180" s="69">
        <f>J1181</f>
        <v>254830.30000000002</v>
      </c>
      <c r="K1180" s="69">
        <v>263594.65000000002</v>
      </c>
      <c r="L1180" s="69">
        <v>254222.43000000002</v>
      </c>
      <c r="M1180" s="69">
        <v>254830.30000000002</v>
      </c>
      <c r="N1180" s="69"/>
      <c r="O1180" s="69">
        <v>257429.45999999996</v>
      </c>
      <c r="P1180" s="69">
        <v>254189.57</v>
      </c>
      <c r="Q1180" s="69">
        <v>254797.44</v>
      </c>
      <c r="R1180" s="472">
        <f t="shared" si="464"/>
        <v>6165.1900000000605</v>
      </c>
      <c r="S1180" s="472">
        <f t="shared" si="465"/>
        <v>32.860000000015134</v>
      </c>
      <c r="T1180" s="472">
        <f t="shared" si="466"/>
        <v>32.860000000015134</v>
      </c>
      <c r="U1180" s="23" t="s">
        <v>1166</v>
      </c>
      <c r="V1180" s="37" t="s">
        <v>19</v>
      </c>
      <c r="W1180" s="37" t="s">
        <v>7</v>
      </c>
      <c r="X1180" s="37" t="s">
        <v>85</v>
      </c>
      <c r="Y1180" s="37" t="s">
        <v>296</v>
      </c>
      <c r="Z1180" s="37" t="s">
        <v>90</v>
      </c>
      <c r="AA1180" s="12" t="b">
        <f t="shared" si="470"/>
        <v>1</v>
      </c>
      <c r="AB1180" s="12" t="b">
        <f t="shared" si="471"/>
        <v>1</v>
      </c>
      <c r="AC1180" s="12" t="b">
        <f t="shared" si="472"/>
        <v>1</v>
      </c>
      <c r="AD1180" s="12" t="b">
        <f t="shared" si="473"/>
        <v>1</v>
      </c>
      <c r="AE1180" s="12" t="b">
        <f t="shared" si="474"/>
        <v>1</v>
      </c>
      <c r="AF1180" s="12" t="b">
        <f t="shared" si="475"/>
        <v>1</v>
      </c>
    </row>
    <row r="1181" spans="1:32" s="12" customFormat="1" ht="15.75" customHeight="1">
      <c r="A1181" s="285"/>
      <c r="B1181" s="182" t="s">
        <v>836</v>
      </c>
      <c r="C1181" s="37" t="s">
        <v>19</v>
      </c>
      <c r="D1181" s="37" t="s">
        <v>7</v>
      </c>
      <c r="E1181" s="37" t="s">
        <v>85</v>
      </c>
      <c r="F1181" s="37" t="s">
        <v>404</v>
      </c>
      <c r="G1181" s="37" t="s">
        <v>90</v>
      </c>
      <c r="H1181" s="69">
        <f>H1182+H1185+H1188</f>
        <v>263594.65000000002</v>
      </c>
      <c r="I1181" s="69">
        <f>I1182+I1185+I1188</f>
        <v>254222.43000000002</v>
      </c>
      <c r="J1181" s="69">
        <f>J1182+J1185+J1188</f>
        <v>254830.30000000002</v>
      </c>
      <c r="K1181" s="69">
        <v>263594.65000000002</v>
      </c>
      <c r="L1181" s="69">
        <v>254222.43000000002</v>
      </c>
      <c r="M1181" s="69">
        <v>254830.30000000002</v>
      </c>
      <c r="N1181" s="69"/>
      <c r="O1181" s="69">
        <v>257429.45999999996</v>
      </c>
      <c r="P1181" s="69">
        <v>254189.57</v>
      </c>
      <c r="Q1181" s="69">
        <v>254797.44</v>
      </c>
      <c r="R1181" s="472">
        <f t="shared" si="464"/>
        <v>6165.1900000000605</v>
      </c>
      <c r="S1181" s="472">
        <f t="shared" si="465"/>
        <v>32.860000000015134</v>
      </c>
      <c r="T1181" s="472">
        <f t="shared" si="466"/>
        <v>32.860000000015134</v>
      </c>
      <c r="U1181" s="182" t="s">
        <v>836</v>
      </c>
      <c r="V1181" s="37" t="s">
        <v>19</v>
      </c>
      <c r="W1181" s="37" t="s">
        <v>7</v>
      </c>
      <c r="X1181" s="37" t="s">
        <v>85</v>
      </c>
      <c r="Y1181" s="37" t="s">
        <v>404</v>
      </c>
      <c r="Z1181" s="37" t="s">
        <v>90</v>
      </c>
      <c r="AA1181" s="12" t="b">
        <f t="shared" si="470"/>
        <v>1</v>
      </c>
      <c r="AB1181" s="12" t="b">
        <f t="shared" si="471"/>
        <v>1</v>
      </c>
      <c r="AC1181" s="12" t="b">
        <f t="shared" si="472"/>
        <v>1</v>
      </c>
      <c r="AD1181" s="12" t="b">
        <f t="shared" si="473"/>
        <v>1</v>
      </c>
      <c r="AE1181" s="12" t="b">
        <f t="shared" si="474"/>
        <v>1</v>
      </c>
      <c r="AF1181" s="12" t="b">
        <f t="shared" si="475"/>
        <v>1</v>
      </c>
    </row>
    <row r="1182" spans="1:32" s="12" customFormat="1" ht="15.75" customHeight="1">
      <c r="A1182" s="285"/>
      <c r="B1182" s="178" t="s">
        <v>1232</v>
      </c>
      <c r="C1182" s="37" t="s">
        <v>19</v>
      </c>
      <c r="D1182" s="37" t="s">
        <v>7</v>
      </c>
      <c r="E1182" s="37" t="s">
        <v>85</v>
      </c>
      <c r="F1182" s="37" t="s">
        <v>562</v>
      </c>
      <c r="G1182" s="37" t="s">
        <v>90</v>
      </c>
      <c r="H1182" s="69">
        <f t="shared" ref="H1182:J1183" si="478">H1183</f>
        <v>23245.239999999998</v>
      </c>
      <c r="I1182" s="69">
        <f t="shared" si="478"/>
        <v>17692.039999999997</v>
      </c>
      <c r="J1182" s="69">
        <f t="shared" si="478"/>
        <v>17739.940000000002</v>
      </c>
      <c r="K1182" s="69">
        <v>23245.239999999998</v>
      </c>
      <c r="L1182" s="69">
        <v>17692.039999999997</v>
      </c>
      <c r="M1182" s="69">
        <v>17739.940000000002</v>
      </c>
      <c r="N1182" s="69"/>
      <c r="O1182" s="69">
        <v>20885.239999999998</v>
      </c>
      <c r="P1182" s="69">
        <v>17692.039999999997</v>
      </c>
      <c r="Q1182" s="69">
        <v>17739.940000000002</v>
      </c>
      <c r="R1182" s="472">
        <f t="shared" si="464"/>
        <v>2360</v>
      </c>
      <c r="S1182" s="472">
        <f t="shared" si="465"/>
        <v>0</v>
      </c>
      <c r="T1182" s="472">
        <f t="shared" si="466"/>
        <v>0</v>
      </c>
      <c r="U1182" s="182" t="s">
        <v>642</v>
      </c>
      <c r="V1182" s="37" t="s">
        <v>19</v>
      </c>
      <c r="W1182" s="37" t="s">
        <v>7</v>
      </c>
      <c r="X1182" s="37" t="s">
        <v>85</v>
      </c>
      <c r="Y1182" s="37" t="s">
        <v>562</v>
      </c>
      <c r="Z1182" s="37" t="s">
        <v>90</v>
      </c>
      <c r="AA1182" s="12" t="b">
        <f t="shared" si="470"/>
        <v>0</v>
      </c>
      <c r="AB1182" s="12" t="b">
        <f t="shared" si="471"/>
        <v>1</v>
      </c>
      <c r="AC1182" s="12" t="b">
        <f t="shared" si="472"/>
        <v>1</v>
      </c>
      <c r="AD1182" s="12" t="b">
        <f t="shared" si="473"/>
        <v>1</v>
      </c>
      <c r="AE1182" s="12" t="b">
        <f t="shared" si="474"/>
        <v>1</v>
      </c>
      <c r="AF1182" s="12" t="b">
        <f t="shared" si="475"/>
        <v>1</v>
      </c>
    </row>
    <row r="1183" spans="1:32" s="12" customFormat="1" ht="15.75" customHeight="1">
      <c r="A1183" s="285"/>
      <c r="B1183" s="182" t="s">
        <v>786</v>
      </c>
      <c r="C1183" s="37" t="s">
        <v>19</v>
      </c>
      <c r="D1183" s="37" t="s">
        <v>7</v>
      </c>
      <c r="E1183" s="37" t="s">
        <v>85</v>
      </c>
      <c r="F1183" s="37" t="s">
        <v>563</v>
      </c>
      <c r="G1183" s="37" t="s">
        <v>90</v>
      </c>
      <c r="H1183" s="69">
        <f t="shared" si="478"/>
        <v>23245.239999999998</v>
      </c>
      <c r="I1183" s="69">
        <f t="shared" si="478"/>
        <v>17692.039999999997</v>
      </c>
      <c r="J1183" s="69">
        <f t="shared" si="478"/>
        <v>17739.940000000002</v>
      </c>
      <c r="K1183" s="69">
        <v>23245.239999999998</v>
      </c>
      <c r="L1183" s="69">
        <v>17692.039999999997</v>
      </c>
      <c r="M1183" s="69">
        <v>17739.940000000002</v>
      </c>
      <c r="N1183" s="69"/>
      <c r="O1183" s="69">
        <v>20885.239999999998</v>
      </c>
      <c r="P1183" s="69">
        <v>17692.039999999997</v>
      </c>
      <c r="Q1183" s="69">
        <v>17739.940000000002</v>
      </c>
      <c r="R1183" s="472">
        <f t="shared" si="464"/>
        <v>2360</v>
      </c>
      <c r="S1183" s="472">
        <f t="shared" si="465"/>
        <v>0</v>
      </c>
      <c r="T1183" s="472">
        <f t="shared" si="466"/>
        <v>0</v>
      </c>
      <c r="U1183" s="182" t="s">
        <v>786</v>
      </c>
      <c r="V1183" s="37" t="s">
        <v>19</v>
      </c>
      <c r="W1183" s="37" t="s">
        <v>7</v>
      </c>
      <c r="X1183" s="37" t="s">
        <v>85</v>
      </c>
      <c r="Y1183" s="37" t="s">
        <v>563</v>
      </c>
      <c r="Z1183" s="37" t="s">
        <v>90</v>
      </c>
      <c r="AA1183" s="12" t="b">
        <f t="shared" si="470"/>
        <v>1</v>
      </c>
      <c r="AB1183" s="12" t="b">
        <f t="shared" si="471"/>
        <v>1</v>
      </c>
      <c r="AC1183" s="12" t="b">
        <f t="shared" si="472"/>
        <v>1</v>
      </c>
      <c r="AD1183" s="12" t="b">
        <f t="shared" si="473"/>
        <v>1</v>
      </c>
      <c r="AE1183" s="12" t="b">
        <f t="shared" si="474"/>
        <v>1</v>
      </c>
      <c r="AF1183" s="12" t="b">
        <f t="shared" si="475"/>
        <v>1</v>
      </c>
    </row>
    <row r="1184" spans="1:32" s="12" customFormat="1" ht="15.75" customHeight="1">
      <c r="A1184" s="285"/>
      <c r="B1184" s="182" t="s">
        <v>145</v>
      </c>
      <c r="C1184" s="37" t="s">
        <v>19</v>
      </c>
      <c r="D1184" s="37" t="s">
        <v>7</v>
      </c>
      <c r="E1184" s="37" t="s">
        <v>85</v>
      </c>
      <c r="F1184" s="37" t="s">
        <v>563</v>
      </c>
      <c r="G1184" s="37" t="s">
        <v>153</v>
      </c>
      <c r="H1184" s="69">
        <f>20747.73+137.51+2360</f>
        <v>23245.239999999998</v>
      </c>
      <c r="I1184" s="69">
        <f>17549.03+143.01</f>
        <v>17692.039999999997</v>
      </c>
      <c r="J1184" s="69">
        <f>17591.22+148.72</f>
        <v>17739.940000000002</v>
      </c>
      <c r="K1184" s="69">
        <v>23245.239999999998</v>
      </c>
      <c r="L1184" s="69">
        <v>17692.039999999997</v>
      </c>
      <c r="M1184" s="69">
        <v>17739.940000000002</v>
      </c>
      <c r="N1184" s="69"/>
      <c r="O1184" s="69">
        <v>20885.239999999998</v>
      </c>
      <c r="P1184" s="69">
        <v>17692.039999999997</v>
      </c>
      <c r="Q1184" s="69">
        <v>17739.940000000002</v>
      </c>
      <c r="R1184" s="472">
        <f t="shared" si="464"/>
        <v>2360</v>
      </c>
      <c r="S1184" s="472">
        <f t="shared" si="465"/>
        <v>0</v>
      </c>
      <c r="T1184" s="472">
        <f t="shared" si="466"/>
        <v>0</v>
      </c>
      <c r="U1184" s="182" t="s">
        <v>145</v>
      </c>
      <c r="V1184" s="37" t="s">
        <v>19</v>
      </c>
      <c r="W1184" s="37" t="s">
        <v>7</v>
      </c>
      <c r="X1184" s="37" t="s">
        <v>85</v>
      </c>
      <c r="Y1184" s="37" t="s">
        <v>563</v>
      </c>
      <c r="Z1184" s="37" t="s">
        <v>153</v>
      </c>
      <c r="AA1184" s="12" t="b">
        <f t="shared" si="470"/>
        <v>1</v>
      </c>
      <c r="AB1184" s="12" t="b">
        <f t="shared" si="471"/>
        <v>1</v>
      </c>
      <c r="AC1184" s="12" t="b">
        <f t="shared" si="472"/>
        <v>1</v>
      </c>
      <c r="AD1184" s="12" t="b">
        <f t="shared" si="473"/>
        <v>1</v>
      </c>
      <c r="AE1184" s="12" t="b">
        <f t="shared" si="474"/>
        <v>1</v>
      </c>
      <c r="AF1184" s="12" t="b">
        <f t="shared" si="475"/>
        <v>1</v>
      </c>
    </row>
    <row r="1185" spans="1:32" s="12" customFormat="1" ht="15.75" customHeight="1">
      <c r="A1185" s="285"/>
      <c r="B1185" s="182" t="s">
        <v>1233</v>
      </c>
      <c r="C1185" s="37" t="s">
        <v>19</v>
      </c>
      <c r="D1185" s="37" t="s">
        <v>7</v>
      </c>
      <c r="E1185" s="37" t="s">
        <v>85</v>
      </c>
      <c r="F1185" s="37" t="s">
        <v>564</v>
      </c>
      <c r="G1185" s="37" t="s">
        <v>90</v>
      </c>
      <c r="H1185" s="69">
        <f t="shared" ref="H1185:J1186" si="479">H1186</f>
        <v>1793.68</v>
      </c>
      <c r="I1185" s="69">
        <f t="shared" si="479"/>
        <v>1793.68</v>
      </c>
      <c r="J1185" s="69">
        <f t="shared" si="479"/>
        <v>1793.68</v>
      </c>
      <c r="K1185" s="69">
        <v>1793.68</v>
      </c>
      <c r="L1185" s="69">
        <v>1793.68</v>
      </c>
      <c r="M1185" s="69">
        <v>1793.68</v>
      </c>
      <c r="N1185" s="69"/>
      <c r="O1185" s="69">
        <v>1793.68</v>
      </c>
      <c r="P1185" s="69">
        <v>1793.68</v>
      </c>
      <c r="Q1185" s="69">
        <v>1793.68</v>
      </c>
      <c r="R1185" s="472">
        <f t="shared" si="464"/>
        <v>0</v>
      </c>
      <c r="S1185" s="472">
        <f t="shared" si="465"/>
        <v>0</v>
      </c>
      <c r="T1185" s="472">
        <f t="shared" si="466"/>
        <v>0</v>
      </c>
      <c r="U1185" s="182" t="s">
        <v>1010</v>
      </c>
      <c r="V1185" s="37" t="s">
        <v>19</v>
      </c>
      <c r="W1185" s="37" t="s">
        <v>7</v>
      </c>
      <c r="X1185" s="37" t="s">
        <v>85</v>
      </c>
      <c r="Y1185" s="37" t="s">
        <v>564</v>
      </c>
      <c r="Z1185" s="37" t="s">
        <v>90</v>
      </c>
      <c r="AA1185" s="12" t="b">
        <f t="shared" si="470"/>
        <v>0</v>
      </c>
      <c r="AB1185" s="12" t="b">
        <f t="shared" si="471"/>
        <v>1</v>
      </c>
      <c r="AC1185" s="12" t="b">
        <f t="shared" si="472"/>
        <v>1</v>
      </c>
      <c r="AD1185" s="12" t="b">
        <f t="shared" si="473"/>
        <v>1</v>
      </c>
      <c r="AE1185" s="12" t="b">
        <f t="shared" si="474"/>
        <v>1</v>
      </c>
      <c r="AF1185" s="12" t="b">
        <f t="shared" si="475"/>
        <v>1</v>
      </c>
    </row>
    <row r="1186" spans="1:32" s="12" customFormat="1" ht="15.75" customHeight="1">
      <c r="A1186" s="285" t="s">
        <v>799</v>
      </c>
      <c r="B1186" s="182" t="s">
        <v>1011</v>
      </c>
      <c r="C1186" s="37" t="s">
        <v>19</v>
      </c>
      <c r="D1186" s="37" t="s">
        <v>7</v>
      </c>
      <c r="E1186" s="37" t="s">
        <v>85</v>
      </c>
      <c r="F1186" s="37" t="s">
        <v>565</v>
      </c>
      <c r="G1186" s="37" t="s">
        <v>90</v>
      </c>
      <c r="H1186" s="69">
        <f t="shared" si="479"/>
        <v>1793.68</v>
      </c>
      <c r="I1186" s="69">
        <f t="shared" si="479"/>
        <v>1793.68</v>
      </c>
      <c r="J1186" s="69">
        <f t="shared" si="479"/>
        <v>1793.68</v>
      </c>
      <c r="K1186" s="69">
        <v>1793.68</v>
      </c>
      <c r="L1186" s="69">
        <v>1793.68</v>
      </c>
      <c r="M1186" s="69">
        <v>1793.68</v>
      </c>
      <c r="N1186" s="69"/>
      <c r="O1186" s="69">
        <v>1793.68</v>
      </c>
      <c r="P1186" s="69">
        <v>1793.68</v>
      </c>
      <c r="Q1186" s="69">
        <v>1793.68</v>
      </c>
      <c r="R1186" s="472">
        <f t="shared" si="464"/>
        <v>0</v>
      </c>
      <c r="S1186" s="472">
        <f t="shared" si="465"/>
        <v>0</v>
      </c>
      <c r="T1186" s="472">
        <f t="shared" si="466"/>
        <v>0</v>
      </c>
      <c r="U1186" s="182" t="s">
        <v>1011</v>
      </c>
      <c r="V1186" s="37" t="s">
        <v>19</v>
      </c>
      <c r="W1186" s="37" t="s">
        <v>7</v>
      </c>
      <c r="X1186" s="37" t="s">
        <v>85</v>
      </c>
      <c r="Y1186" s="37" t="s">
        <v>565</v>
      </c>
      <c r="Z1186" s="37" t="s">
        <v>90</v>
      </c>
      <c r="AA1186" s="12" t="b">
        <f t="shared" si="470"/>
        <v>1</v>
      </c>
      <c r="AB1186" s="12" t="b">
        <f t="shared" si="471"/>
        <v>1</v>
      </c>
      <c r="AC1186" s="12" t="b">
        <f t="shared" si="472"/>
        <v>1</v>
      </c>
      <c r="AD1186" s="12" t="b">
        <f t="shared" si="473"/>
        <v>1</v>
      </c>
      <c r="AE1186" s="12" t="b">
        <f t="shared" si="474"/>
        <v>1</v>
      </c>
      <c r="AF1186" s="12" t="b">
        <f t="shared" si="475"/>
        <v>1</v>
      </c>
    </row>
    <row r="1187" spans="1:32" s="12" customFormat="1" ht="15.75" customHeight="1">
      <c r="A1187" s="285"/>
      <c r="B1187" s="182" t="s">
        <v>145</v>
      </c>
      <c r="C1187" s="37" t="s">
        <v>19</v>
      </c>
      <c r="D1187" s="37" t="s">
        <v>7</v>
      </c>
      <c r="E1187" s="37" t="s">
        <v>85</v>
      </c>
      <c r="F1187" s="37" t="s">
        <v>565</v>
      </c>
      <c r="G1187" s="37" t="s">
        <v>153</v>
      </c>
      <c r="H1187" s="69">
        <v>1793.68</v>
      </c>
      <c r="I1187" s="69">
        <v>1793.68</v>
      </c>
      <c r="J1187" s="69">
        <v>1793.68</v>
      </c>
      <c r="K1187" s="69">
        <v>1793.68</v>
      </c>
      <c r="L1187" s="69">
        <v>1793.68</v>
      </c>
      <c r="M1187" s="69">
        <v>1793.68</v>
      </c>
      <c r="N1187" s="69"/>
      <c r="O1187" s="69">
        <v>1793.68</v>
      </c>
      <c r="P1187" s="69">
        <v>1793.68</v>
      </c>
      <c r="Q1187" s="69">
        <v>1793.68</v>
      </c>
      <c r="R1187" s="472">
        <f t="shared" si="464"/>
        <v>0</v>
      </c>
      <c r="S1187" s="472">
        <f t="shared" si="465"/>
        <v>0</v>
      </c>
      <c r="T1187" s="472">
        <f t="shared" si="466"/>
        <v>0</v>
      </c>
      <c r="U1187" s="182" t="s">
        <v>145</v>
      </c>
      <c r="V1187" s="37" t="s">
        <v>19</v>
      </c>
      <c r="W1187" s="37" t="s">
        <v>7</v>
      </c>
      <c r="X1187" s="37" t="s">
        <v>85</v>
      </c>
      <c r="Y1187" s="37" t="s">
        <v>565</v>
      </c>
      <c r="Z1187" s="37" t="s">
        <v>153</v>
      </c>
      <c r="AA1187" s="12" t="b">
        <f t="shared" si="470"/>
        <v>1</v>
      </c>
      <c r="AB1187" s="12" t="b">
        <f t="shared" si="471"/>
        <v>1</v>
      </c>
      <c r="AC1187" s="12" t="b">
        <f t="shared" si="472"/>
        <v>1</v>
      </c>
      <c r="AD1187" s="12" t="b">
        <f t="shared" si="473"/>
        <v>1</v>
      </c>
      <c r="AE1187" s="12" t="b">
        <f t="shared" si="474"/>
        <v>1</v>
      </c>
      <c r="AF1187" s="12" t="b">
        <f t="shared" si="475"/>
        <v>1</v>
      </c>
    </row>
    <row r="1188" spans="1:32" s="12" customFormat="1" ht="15.75" customHeight="1">
      <c r="A1188" s="285"/>
      <c r="B1188" s="178" t="s">
        <v>405</v>
      </c>
      <c r="C1188" s="37" t="s">
        <v>19</v>
      </c>
      <c r="D1188" s="37" t="s">
        <v>7</v>
      </c>
      <c r="E1188" s="37" t="s">
        <v>85</v>
      </c>
      <c r="F1188" s="37" t="s">
        <v>555</v>
      </c>
      <c r="G1188" s="37" t="s">
        <v>90</v>
      </c>
      <c r="H1188" s="69">
        <f>H1189+H1191+H1193+H1195+H1197+H1199</f>
        <v>238555.73</v>
      </c>
      <c r="I1188" s="69">
        <f>I1189+I1191+I1193+I1195+I1197+I1199</f>
        <v>234736.71000000002</v>
      </c>
      <c r="J1188" s="69">
        <f>J1189+J1191+J1193+J1195+J1197+J1199</f>
        <v>235296.68000000002</v>
      </c>
      <c r="K1188" s="69">
        <v>238555.73</v>
      </c>
      <c r="L1188" s="69">
        <v>234736.71000000002</v>
      </c>
      <c r="M1188" s="69">
        <v>235296.68000000002</v>
      </c>
      <c r="N1188" s="69"/>
      <c r="O1188" s="69">
        <v>234750.53999999998</v>
      </c>
      <c r="P1188" s="69">
        <v>234703.85</v>
      </c>
      <c r="Q1188" s="69">
        <v>235263.82</v>
      </c>
      <c r="R1188" s="472">
        <f t="shared" si="464"/>
        <v>3805.1900000000314</v>
      </c>
      <c r="S1188" s="472">
        <f t="shared" si="465"/>
        <v>32.860000000015134</v>
      </c>
      <c r="T1188" s="472">
        <f t="shared" si="466"/>
        <v>32.860000000015134</v>
      </c>
      <c r="U1188" s="178" t="s">
        <v>405</v>
      </c>
      <c r="V1188" s="37" t="s">
        <v>19</v>
      </c>
      <c r="W1188" s="37" t="s">
        <v>7</v>
      </c>
      <c r="X1188" s="37" t="s">
        <v>85</v>
      </c>
      <c r="Y1188" s="37" t="s">
        <v>555</v>
      </c>
      <c r="Z1188" s="37" t="s">
        <v>90</v>
      </c>
      <c r="AA1188" s="12" t="b">
        <f t="shared" si="470"/>
        <v>1</v>
      </c>
      <c r="AB1188" s="12" t="b">
        <f t="shared" si="471"/>
        <v>1</v>
      </c>
      <c r="AC1188" s="12" t="b">
        <f t="shared" si="472"/>
        <v>1</v>
      </c>
      <c r="AD1188" s="12" t="b">
        <f t="shared" si="473"/>
        <v>1</v>
      </c>
      <c r="AE1188" s="12" t="b">
        <f t="shared" si="474"/>
        <v>1</v>
      </c>
      <c r="AF1188" s="12" t="b">
        <f t="shared" si="475"/>
        <v>1</v>
      </c>
    </row>
    <row r="1189" spans="1:32" s="12" customFormat="1" ht="15.75" customHeight="1">
      <c r="A1189" s="285"/>
      <c r="B1189" s="182" t="s">
        <v>254</v>
      </c>
      <c r="C1189" s="37" t="s">
        <v>19</v>
      </c>
      <c r="D1189" s="37" t="s">
        <v>7</v>
      </c>
      <c r="E1189" s="37" t="s">
        <v>85</v>
      </c>
      <c r="F1189" s="37" t="s">
        <v>566</v>
      </c>
      <c r="G1189" s="37" t="s">
        <v>90</v>
      </c>
      <c r="H1189" s="69">
        <f>H1190</f>
        <v>7412.69</v>
      </c>
      <c r="I1189" s="69">
        <f>I1190</f>
        <v>7413.98</v>
      </c>
      <c r="J1189" s="69">
        <f>J1190</f>
        <v>7415.32</v>
      </c>
      <c r="K1189" s="69">
        <v>7412.69</v>
      </c>
      <c r="L1189" s="69">
        <v>7413.98</v>
      </c>
      <c r="M1189" s="69">
        <v>7415.32</v>
      </c>
      <c r="N1189" s="69"/>
      <c r="O1189" s="69">
        <v>7379.83</v>
      </c>
      <c r="P1189" s="69">
        <v>7381.12</v>
      </c>
      <c r="Q1189" s="69">
        <v>7382.46</v>
      </c>
      <c r="R1189" s="472">
        <f t="shared" si="464"/>
        <v>32.859999999999673</v>
      </c>
      <c r="S1189" s="472">
        <f t="shared" si="465"/>
        <v>32.859999999999673</v>
      </c>
      <c r="T1189" s="472">
        <f t="shared" si="466"/>
        <v>32.859999999999673</v>
      </c>
      <c r="U1189" s="182" t="s">
        <v>254</v>
      </c>
      <c r="V1189" s="37" t="s">
        <v>19</v>
      </c>
      <c r="W1189" s="37" t="s">
        <v>7</v>
      </c>
      <c r="X1189" s="37" t="s">
        <v>85</v>
      </c>
      <c r="Y1189" s="37" t="s">
        <v>566</v>
      </c>
      <c r="Z1189" s="37" t="s">
        <v>90</v>
      </c>
      <c r="AA1189" s="12" t="b">
        <f t="shared" si="470"/>
        <v>1</v>
      </c>
      <c r="AB1189" s="12" t="b">
        <f t="shared" si="471"/>
        <v>1</v>
      </c>
      <c r="AC1189" s="12" t="b">
        <f t="shared" si="472"/>
        <v>1</v>
      </c>
      <c r="AD1189" s="12" t="b">
        <f t="shared" si="473"/>
        <v>1</v>
      </c>
      <c r="AE1189" s="12" t="b">
        <f t="shared" si="474"/>
        <v>1</v>
      </c>
      <c r="AF1189" s="12" t="b">
        <f t="shared" si="475"/>
        <v>1</v>
      </c>
    </row>
    <row r="1190" spans="1:32" s="12" customFormat="1" ht="15.75" customHeight="1">
      <c r="A1190" s="285"/>
      <c r="B1190" s="65" t="s">
        <v>132</v>
      </c>
      <c r="C1190" s="57" t="s">
        <v>19</v>
      </c>
      <c r="D1190" s="57" t="s">
        <v>7</v>
      </c>
      <c r="E1190" s="57" t="s">
        <v>85</v>
      </c>
      <c r="F1190" s="57" t="s">
        <v>566</v>
      </c>
      <c r="G1190" s="57" t="s">
        <v>171</v>
      </c>
      <c r="H1190" s="60">
        <f>7379.83+32.86</f>
        <v>7412.69</v>
      </c>
      <c r="I1190" s="60">
        <f>7381.12+32.86</f>
        <v>7413.98</v>
      </c>
      <c r="J1190" s="60">
        <f>7382.46+32.86</f>
        <v>7415.32</v>
      </c>
      <c r="K1190" s="60">
        <v>7412.69</v>
      </c>
      <c r="L1190" s="60">
        <v>7413.98</v>
      </c>
      <c r="M1190" s="60">
        <v>7415.32</v>
      </c>
      <c r="N1190" s="60"/>
      <c r="O1190" s="60">
        <v>7379.83</v>
      </c>
      <c r="P1190" s="60">
        <v>7381.12</v>
      </c>
      <c r="Q1190" s="60">
        <v>7382.46</v>
      </c>
      <c r="R1190" s="472">
        <f t="shared" si="464"/>
        <v>32.859999999999673</v>
      </c>
      <c r="S1190" s="472">
        <f t="shared" si="465"/>
        <v>32.859999999999673</v>
      </c>
      <c r="T1190" s="472">
        <f t="shared" si="466"/>
        <v>32.859999999999673</v>
      </c>
      <c r="U1190" s="65" t="s">
        <v>132</v>
      </c>
      <c r="V1190" s="57" t="s">
        <v>19</v>
      </c>
      <c r="W1190" s="57" t="s">
        <v>7</v>
      </c>
      <c r="X1190" s="57" t="s">
        <v>85</v>
      </c>
      <c r="Y1190" s="57" t="s">
        <v>566</v>
      </c>
      <c r="Z1190" s="57" t="s">
        <v>171</v>
      </c>
      <c r="AA1190" s="12" t="b">
        <f t="shared" si="470"/>
        <v>1</v>
      </c>
      <c r="AB1190" s="12" t="b">
        <f t="shared" si="471"/>
        <v>1</v>
      </c>
      <c r="AC1190" s="12" t="b">
        <f t="shared" si="472"/>
        <v>1</v>
      </c>
      <c r="AD1190" s="12" t="b">
        <f t="shared" si="473"/>
        <v>1</v>
      </c>
      <c r="AE1190" s="12" t="b">
        <f t="shared" si="474"/>
        <v>1</v>
      </c>
      <c r="AF1190" s="12" t="b">
        <f t="shared" si="475"/>
        <v>1</v>
      </c>
    </row>
    <row r="1191" spans="1:32" s="12" customFormat="1" ht="15.75" customHeight="1">
      <c r="A1191" s="285"/>
      <c r="B1191" s="182" t="s">
        <v>761</v>
      </c>
      <c r="C1191" s="37" t="s">
        <v>19</v>
      </c>
      <c r="D1191" s="37" t="s">
        <v>7</v>
      </c>
      <c r="E1191" s="37" t="s">
        <v>85</v>
      </c>
      <c r="F1191" s="37" t="s">
        <v>567</v>
      </c>
      <c r="G1191" s="37" t="s">
        <v>90</v>
      </c>
      <c r="H1191" s="69">
        <f>H1192</f>
        <v>150611.76</v>
      </c>
      <c r="I1191" s="69">
        <f>I1192</f>
        <v>156413.77000000002</v>
      </c>
      <c r="J1191" s="69">
        <f>J1192</f>
        <v>156972.40000000002</v>
      </c>
      <c r="K1191" s="69">
        <v>150611.76</v>
      </c>
      <c r="L1191" s="69">
        <v>156413.77000000002</v>
      </c>
      <c r="M1191" s="69">
        <v>156972.40000000002</v>
      </c>
      <c r="N1191" s="69"/>
      <c r="O1191" s="69">
        <v>150611.76</v>
      </c>
      <c r="P1191" s="69">
        <v>156413.77000000002</v>
      </c>
      <c r="Q1191" s="69">
        <v>156972.40000000002</v>
      </c>
      <c r="R1191" s="472">
        <f t="shared" si="464"/>
        <v>0</v>
      </c>
      <c r="S1191" s="472">
        <f t="shared" si="465"/>
        <v>0</v>
      </c>
      <c r="T1191" s="472">
        <f t="shared" si="466"/>
        <v>0</v>
      </c>
      <c r="U1191" s="182" t="s">
        <v>761</v>
      </c>
      <c r="V1191" s="37" t="s">
        <v>19</v>
      </c>
      <c r="W1191" s="37" t="s">
        <v>7</v>
      </c>
      <c r="X1191" s="37" t="s">
        <v>85</v>
      </c>
      <c r="Y1191" s="37" t="s">
        <v>567</v>
      </c>
      <c r="Z1191" s="37" t="s">
        <v>90</v>
      </c>
      <c r="AA1191" s="12" t="b">
        <f t="shared" si="470"/>
        <v>1</v>
      </c>
      <c r="AB1191" s="12" t="b">
        <f t="shared" si="471"/>
        <v>1</v>
      </c>
      <c r="AC1191" s="12" t="b">
        <f t="shared" si="472"/>
        <v>1</v>
      </c>
      <c r="AD1191" s="12" t="b">
        <f t="shared" si="473"/>
        <v>1</v>
      </c>
      <c r="AE1191" s="12" t="b">
        <f t="shared" si="474"/>
        <v>1</v>
      </c>
      <c r="AF1191" s="12" t="b">
        <f t="shared" si="475"/>
        <v>1</v>
      </c>
    </row>
    <row r="1192" spans="1:32" s="12" customFormat="1" ht="15.75" customHeight="1">
      <c r="A1192" s="285"/>
      <c r="B1192" s="182" t="s">
        <v>145</v>
      </c>
      <c r="C1192" s="37" t="s">
        <v>19</v>
      </c>
      <c r="D1192" s="37" t="s">
        <v>7</v>
      </c>
      <c r="E1192" s="37" t="s">
        <v>85</v>
      </c>
      <c r="F1192" s="37" t="s">
        <v>567</v>
      </c>
      <c r="G1192" s="37" t="s">
        <v>153</v>
      </c>
      <c r="H1192" s="69">
        <f>137183.15+13428.61</f>
        <v>150611.76</v>
      </c>
      <c r="I1192" s="69">
        <f>142448.01+13965.76</f>
        <v>156413.77000000002</v>
      </c>
      <c r="J1192" s="69">
        <f>14524.39+142448.01</f>
        <v>156972.40000000002</v>
      </c>
      <c r="K1192" s="69">
        <v>150611.76</v>
      </c>
      <c r="L1192" s="69">
        <v>156413.77000000002</v>
      </c>
      <c r="M1192" s="69">
        <v>156972.40000000002</v>
      </c>
      <c r="N1192" s="69"/>
      <c r="O1192" s="69">
        <v>150611.76</v>
      </c>
      <c r="P1192" s="69">
        <v>156413.77000000002</v>
      </c>
      <c r="Q1192" s="69">
        <v>156972.40000000002</v>
      </c>
      <c r="R1192" s="472">
        <f t="shared" si="464"/>
        <v>0</v>
      </c>
      <c r="S1192" s="472">
        <f t="shared" si="465"/>
        <v>0</v>
      </c>
      <c r="T1192" s="472">
        <f t="shared" si="466"/>
        <v>0</v>
      </c>
      <c r="U1192" s="182" t="s">
        <v>145</v>
      </c>
      <c r="V1192" s="37" t="s">
        <v>19</v>
      </c>
      <c r="W1192" s="37" t="s">
        <v>7</v>
      </c>
      <c r="X1192" s="37" t="s">
        <v>85</v>
      </c>
      <c r="Y1192" s="37" t="s">
        <v>567</v>
      </c>
      <c r="Z1192" s="37" t="s">
        <v>153</v>
      </c>
      <c r="AA1192" s="12" t="b">
        <f t="shared" si="470"/>
        <v>1</v>
      </c>
      <c r="AB1192" s="12" t="b">
        <f t="shared" si="471"/>
        <v>1</v>
      </c>
      <c r="AC1192" s="12" t="b">
        <f t="shared" si="472"/>
        <v>1</v>
      </c>
      <c r="AD1192" s="12" t="b">
        <f t="shared" si="473"/>
        <v>1</v>
      </c>
      <c r="AE1192" s="12" t="b">
        <f t="shared" si="474"/>
        <v>1</v>
      </c>
      <c r="AF1192" s="12" t="b">
        <f t="shared" si="475"/>
        <v>1</v>
      </c>
    </row>
    <row r="1193" spans="1:32" s="12" customFormat="1" ht="15.75" customHeight="1">
      <c r="A1193" s="285"/>
      <c r="B1193" s="182" t="s">
        <v>187</v>
      </c>
      <c r="C1193" s="37" t="s">
        <v>19</v>
      </c>
      <c r="D1193" s="37" t="s">
        <v>7</v>
      </c>
      <c r="E1193" s="37" t="s">
        <v>85</v>
      </c>
      <c r="F1193" s="37" t="s">
        <v>556</v>
      </c>
      <c r="G1193" s="37" t="s">
        <v>90</v>
      </c>
      <c r="H1193" s="69">
        <f>H1194</f>
        <v>17747.629999999997</v>
      </c>
      <c r="I1193" s="69">
        <f>I1194</f>
        <v>12725.31</v>
      </c>
      <c r="J1193" s="69">
        <f>J1194</f>
        <v>12725.31</v>
      </c>
      <c r="K1193" s="69">
        <v>17747.629999999997</v>
      </c>
      <c r="L1193" s="69">
        <v>12725.31</v>
      </c>
      <c r="M1193" s="69">
        <v>12725.31</v>
      </c>
      <c r="N1193" s="69"/>
      <c r="O1193" s="69">
        <v>13975.3</v>
      </c>
      <c r="P1193" s="69">
        <v>12725.31</v>
      </c>
      <c r="Q1193" s="69">
        <v>12725.31</v>
      </c>
      <c r="R1193" s="472">
        <f t="shared" si="464"/>
        <v>3772.3299999999981</v>
      </c>
      <c r="S1193" s="472">
        <f t="shared" si="465"/>
        <v>0</v>
      </c>
      <c r="T1193" s="472">
        <f t="shared" si="466"/>
        <v>0</v>
      </c>
      <c r="U1193" s="182" t="s">
        <v>187</v>
      </c>
      <c r="V1193" s="37" t="s">
        <v>19</v>
      </c>
      <c r="W1193" s="37" t="s">
        <v>7</v>
      </c>
      <c r="X1193" s="37" t="s">
        <v>85</v>
      </c>
      <c r="Y1193" s="37" t="s">
        <v>556</v>
      </c>
      <c r="Z1193" s="37" t="s">
        <v>90</v>
      </c>
      <c r="AA1193" s="12" t="b">
        <f t="shared" si="470"/>
        <v>1</v>
      </c>
      <c r="AB1193" s="12" t="b">
        <f t="shared" si="471"/>
        <v>1</v>
      </c>
      <c r="AC1193" s="12" t="b">
        <f t="shared" si="472"/>
        <v>1</v>
      </c>
      <c r="AD1193" s="12" t="b">
        <f t="shared" si="473"/>
        <v>1</v>
      </c>
      <c r="AE1193" s="12" t="b">
        <f t="shared" si="474"/>
        <v>1</v>
      </c>
      <c r="AF1193" s="12" t="b">
        <f t="shared" si="475"/>
        <v>1</v>
      </c>
    </row>
    <row r="1194" spans="1:32" s="12" customFormat="1" ht="15.75" customHeight="1">
      <c r="A1194" s="285"/>
      <c r="B1194" s="182" t="s">
        <v>145</v>
      </c>
      <c r="C1194" s="37" t="s">
        <v>19</v>
      </c>
      <c r="D1194" s="37" t="s">
        <v>7</v>
      </c>
      <c r="E1194" s="37" t="s">
        <v>85</v>
      </c>
      <c r="F1194" s="37" t="s">
        <v>556</v>
      </c>
      <c r="G1194" s="37" t="s">
        <v>153</v>
      </c>
      <c r="H1194" s="69">
        <f>13975.3+3772.33</f>
        <v>17747.629999999997</v>
      </c>
      <c r="I1194" s="69">
        <f>13175.31-450</f>
        <v>12725.31</v>
      </c>
      <c r="J1194" s="69">
        <f>13175.31-450</f>
        <v>12725.31</v>
      </c>
      <c r="K1194" s="69">
        <v>17747.629999999997</v>
      </c>
      <c r="L1194" s="69">
        <v>12725.31</v>
      </c>
      <c r="M1194" s="69">
        <v>12725.31</v>
      </c>
      <c r="N1194" s="69"/>
      <c r="O1194" s="69">
        <v>13975.3</v>
      </c>
      <c r="P1194" s="69">
        <v>12725.31</v>
      </c>
      <c r="Q1194" s="69">
        <v>12725.31</v>
      </c>
      <c r="R1194" s="472">
        <f t="shared" si="464"/>
        <v>3772.3299999999981</v>
      </c>
      <c r="S1194" s="472">
        <f t="shared" si="465"/>
        <v>0</v>
      </c>
      <c r="T1194" s="472">
        <f t="shared" si="466"/>
        <v>0</v>
      </c>
      <c r="U1194" s="182" t="s">
        <v>145</v>
      </c>
      <c r="V1194" s="37" t="s">
        <v>19</v>
      </c>
      <c r="W1194" s="37" t="s">
        <v>7</v>
      </c>
      <c r="X1194" s="37" t="s">
        <v>85</v>
      </c>
      <c r="Y1194" s="37" t="s">
        <v>556</v>
      </c>
      <c r="Z1194" s="37" t="s">
        <v>153</v>
      </c>
      <c r="AA1194" s="12" t="b">
        <f t="shared" si="470"/>
        <v>1</v>
      </c>
      <c r="AB1194" s="12" t="b">
        <f t="shared" si="471"/>
        <v>1</v>
      </c>
      <c r="AC1194" s="12" t="b">
        <f t="shared" si="472"/>
        <v>1</v>
      </c>
      <c r="AD1194" s="12" t="b">
        <f t="shared" si="473"/>
        <v>1</v>
      </c>
      <c r="AE1194" s="12" t="b">
        <f t="shared" si="474"/>
        <v>1</v>
      </c>
      <c r="AF1194" s="12" t="b">
        <f t="shared" si="475"/>
        <v>1</v>
      </c>
    </row>
    <row r="1195" spans="1:32" s="12" customFormat="1" ht="15.75" customHeight="1">
      <c r="A1195" s="285"/>
      <c r="B1195" s="47" t="s">
        <v>188</v>
      </c>
      <c r="C1195" s="37" t="s">
        <v>19</v>
      </c>
      <c r="D1195" s="37" t="s">
        <v>7</v>
      </c>
      <c r="E1195" s="37" t="s">
        <v>85</v>
      </c>
      <c r="F1195" s="37" t="s">
        <v>557</v>
      </c>
      <c r="G1195" s="37" t="s">
        <v>90</v>
      </c>
      <c r="H1195" s="69">
        <f>H1196</f>
        <v>46903.59</v>
      </c>
      <c r="I1195" s="69">
        <f>I1196</f>
        <v>42403.59</v>
      </c>
      <c r="J1195" s="69">
        <f>J1196</f>
        <v>42403.59</v>
      </c>
      <c r="K1195" s="69">
        <v>46903.59</v>
      </c>
      <c r="L1195" s="69">
        <v>42403.59</v>
      </c>
      <c r="M1195" s="69">
        <v>42403.59</v>
      </c>
      <c r="N1195" s="69"/>
      <c r="O1195" s="69">
        <v>46903.59</v>
      </c>
      <c r="P1195" s="69">
        <v>42403.59</v>
      </c>
      <c r="Q1195" s="69">
        <v>42403.59</v>
      </c>
      <c r="R1195" s="472">
        <f t="shared" si="464"/>
        <v>0</v>
      </c>
      <c r="S1195" s="472">
        <f t="shared" si="465"/>
        <v>0</v>
      </c>
      <c r="T1195" s="472">
        <f t="shared" si="466"/>
        <v>0</v>
      </c>
      <c r="U1195" s="47" t="s">
        <v>188</v>
      </c>
      <c r="V1195" s="37" t="s">
        <v>19</v>
      </c>
      <c r="W1195" s="37" t="s">
        <v>7</v>
      </c>
      <c r="X1195" s="37" t="s">
        <v>85</v>
      </c>
      <c r="Y1195" s="37" t="s">
        <v>557</v>
      </c>
      <c r="Z1195" s="37" t="s">
        <v>90</v>
      </c>
      <c r="AA1195" s="12" t="b">
        <f t="shared" si="470"/>
        <v>1</v>
      </c>
      <c r="AB1195" s="12" t="b">
        <f t="shared" si="471"/>
        <v>1</v>
      </c>
      <c r="AC1195" s="12" t="b">
        <f t="shared" si="472"/>
        <v>1</v>
      </c>
      <c r="AD1195" s="12" t="b">
        <f t="shared" si="473"/>
        <v>1</v>
      </c>
      <c r="AE1195" s="12" t="b">
        <f t="shared" si="474"/>
        <v>1</v>
      </c>
      <c r="AF1195" s="12" t="b">
        <f t="shared" si="475"/>
        <v>1</v>
      </c>
    </row>
    <row r="1196" spans="1:32" s="12" customFormat="1" ht="15.75" customHeight="1">
      <c r="A1196" s="285"/>
      <c r="B1196" s="182" t="s">
        <v>145</v>
      </c>
      <c r="C1196" s="37" t="s">
        <v>19</v>
      </c>
      <c r="D1196" s="37" t="s">
        <v>7</v>
      </c>
      <c r="E1196" s="37" t="s">
        <v>85</v>
      </c>
      <c r="F1196" s="37" t="s">
        <v>557</v>
      </c>
      <c r="G1196" s="37" t="s">
        <v>153</v>
      </c>
      <c r="H1196" s="69">
        <v>46903.59</v>
      </c>
      <c r="I1196" s="69">
        <v>42403.59</v>
      </c>
      <c r="J1196" s="69">
        <v>42403.59</v>
      </c>
      <c r="K1196" s="69">
        <v>46903.59</v>
      </c>
      <c r="L1196" s="69">
        <v>42403.59</v>
      </c>
      <c r="M1196" s="69">
        <v>42403.59</v>
      </c>
      <c r="N1196" s="69"/>
      <c r="O1196" s="69">
        <v>46903.59</v>
      </c>
      <c r="P1196" s="69">
        <v>42403.59</v>
      </c>
      <c r="Q1196" s="69">
        <v>42403.59</v>
      </c>
      <c r="R1196" s="472">
        <f t="shared" si="464"/>
        <v>0</v>
      </c>
      <c r="S1196" s="472">
        <f t="shared" si="465"/>
        <v>0</v>
      </c>
      <c r="T1196" s="472">
        <f t="shared" si="466"/>
        <v>0</v>
      </c>
      <c r="U1196" s="182" t="s">
        <v>145</v>
      </c>
      <c r="V1196" s="37" t="s">
        <v>19</v>
      </c>
      <c r="W1196" s="37" t="s">
        <v>7</v>
      </c>
      <c r="X1196" s="37" t="s">
        <v>85</v>
      </c>
      <c r="Y1196" s="37" t="s">
        <v>557</v>
      </c>
      <c r="Z1196" s="37" t="s">
        <v>153</v>
      </c>
      <c r="AA1196" s="12" t="b">
        <f t="shared" si="470"/>
        <v>1</v>
      </c>
      <c r="AB1196" s="12" t="b">
        <f t="shared" si="471"/>
        <v>1</v>
      </c>
      <c r="AC1196" s="12" t="b">
        <f t="shared" si="472"/>
        <v>1</v>
      </c>
      <c r="AD1196" s="12" t="b">
        <f t="shared" si="473"/>
        <v>1</v>
      </c>
      <c r="AE1196" s="12" t="b">
        <f t="shared" si="474"/>
        <v>1</v>
      </c>
      <c r="AF1196" s="12" t="b">
        <f t="shared" si="475"/>
        <v>1</v>
      </c>
    </row>
    <row r="1197" spans="1:32" s="319" customFormat="1" ht="15.75" customHeight="1">
      <c r="A1197" s="285"/>
      <c r="B1197" s="182" t="s">
        <v>908</v>
      </c>
      <c r="C1197" s="37" t="s">
        <v>19</v>
      </c>
      <c r="D1197" s="37" t="s">
        <v>7</v>
      </c>
      <c r="E1197" s="37" t="s">
        <v>85</v>
      </c>
      <c r="F1197" s="37" t="s">
        <v>823</v>
      </c>
      <c r="G1197" s="57" t="s">
        <v>90</v>
      </c>
      <c r="H1197" s="183">
        <f>H1198</f>
        <v>15780.06</v>
      </c>
      <c r="I1197" s="183">
        <f>I1198</f>
        <v>15780.06</v>
      </c>
      <c r="J1197" s="183">
        <f>J1198</f>
        <v>15780.06</v>
      </c>
      <c r="K1197" s="183">
        <v>15780.06</v>
      </c>
      <c r="L1197" s="183">
        <v>15780.06</v>
      </c>
      <c r="M1197" s="183">
        <v>15780.06</v>
      </c>
      <c r="N1197" s="183"/>
      <c r="O1197" s="183">
        <v>15780.06</v>
      </c>
      <c r="P1197" s="183">
        <v>15780.06</v>
      </c>
      <c r="Q1197" s="183">
        <v>15780.06</v>
      </c>
      <c r="R1197" s="472">
        <f t="shared" si="464"/>
        <v>0</v>
      </c>
      <c r="S1197" s="472">
        <f t="shared" si="465"/>
        <v>0</v>
      </c>
      <c r="T1197" s="472">
        <f t="shared" si="466"/>
        <v>0</v>
      </c>
      <c r="U1197" s="182" t="s">
        <v>908</v>
      </c>
      <c r="V1197" s="37" t="s">
        <v>19</v>
      </c>
      <c r="W1197" s="37" t="s">
        <v>7</v>
      </c>
      <c r="X1197" s="37" t="s">
        <v>85</v>
      </c>
      <c r="Y1197" s="37" t="s">
        <v>823</v>
      </c>
      <c r="Z1197" s="57" t="s">
        <v>90</v>
      </c>
      <c r="AA1197" s="12" t="b">
        <f t="shared" si="470"/>
        <v>1</v>
      </c>
      <c r="AB1197" s="12" t="b">
        <f t="shared" si="471"/>
        <v>1</v>
      </c>
      <c r="AC1197" s="12" t="b">
        <f t="shared" si="472"/>
        <v>1</v>
      </c>
      <c r="AD1197" s="12" t="b">
        <f t="shared" si="473"/>
        <v>1</v>
      </c>
      <c r="AE1197" s="12" t="b">
        <f t="shared" si="474"/>
        <v>1</v>
      </c>
      <c r="AF1197" s="12" t="b">
        <f t="shared" si="475"/>
        <v>1</v>
      </c>
    </row>
    <row r="1198" spans="1:32" s="319" customFormat="1" ht="15.75" customHeight="1">
      <c r="A1198" s="285"/>
      <c r="B1198" s="182" t="s">
        <v>145</v>
      </c>
      <c r="C1198" s="37" t="s">
        <v>19</v>
      </c>
      <c r="D1198" s="37" t="s">
        <v>7</v>
      </c>
      <c r="E1198" s="37" t="s">
        <v>85</v>
      </c>
      <c r="F1198" s="37" t="s">
        <v>823</v>
      </c>
      <c r="G1198" s="37" t="s">
        <v>153</v>
      </c>
      <c r="H1198" s="183">
        <v>15780.06</v>
      </c>
      <c r="I1198" s="183">
        <v>15780.06</v>
      </c>
      <c r="J1198" s="183">
        <v>15780.06</v>
      </c>
      <c r="K1198" s="183">
        <v>15780.06</v>
      </c>
      <c r="L1198" s="183">
        <v>15780.06</v>
      </c>
      <c r="M1198" s="183">
        <v>15780.06</v>
      </c>
      <c r="N1198" s="183"/>
      <c r="O1198" s="183">
        <v>15780.06</v>
      </c>
      <c r="P1198" s="183">
        <v>15780.06</v>
      </c>
      <c r="Q1198" s="183">
        <v>15780.06</v>
      </c>
      <c r="R1198" s="472">
        <f t="shared" si="464"/>
        <v>0</v>
      </c>
      <c r="S1198" s="472">
        <f t="shared" si="465"/>
        <v>0</v>
      </c>
      <c r="T1198" s="472">
        <f t="shared" si="466"/>
        <v>0</v>
      </c>
      <c r="U1198" s="182" t="s">
        <v>145</v>
      </c>
      <c r="V1198" s="37" t="s">
        <v>19</v>
      </c>
      <c r="W1198" s="37" t="s">
        <v>7</v>
      </c>
      <c r="X1198" s="37" t="s">
        <v>85</v>
      </c>
      <c r="Y1198" s="37" t="s">
        <v>823</v>
      </c>
      <c r="Z1198" s="37" t="s">
        <v>153</v>
      </c>
      <c r="AA1198" s="12" t="b">
        <f t="shared" si="470"/>
        <v>1</v>
      </c>
      <c r="AB1198" s="12" t="b">
        <f t="shared" si="471"/>
        <v>1</v>
      </c>
      <c r="AC1198" s="12" t="b">
        <f t="shared" si="472"/>
        <v>1</v>
      </c>
      <c r="AD1198" s="12" t="b">
        <f t="shared" si="473"/>
        <v>1</v>
      </c>
      <c r="AE1198" s="12" t="b">
        <f t="shared" si="474"/>
        <v>1</v>
      </c>
      <c r="AF1198" s="12" t="b">
        <f t="shared" si="475"/>
        <v>1</v>
      </c>
    </row>
    <row r="1199" spans="1:32" s="319" customFormat="1" ht="15.75" customHeight="1">
      <c r="A1199" s="285"/>
      <c r="B1199" s="182" t="s">
        <v>910</v>
      </c>
      <c r="C1199" s="36" t="s">
        <v>19</v>
      </c>
      <c r="D1199" s="37" t="s">
        <v>7</v>
      </c>
      <c r="E1199" s="37" t="s">
        <v>85</v>
      </c>
      <c r="F1199" s="37" t="s">
        <v>881</v>
      </c>
      <c r="G1199" s="37" t="s">
        <v>90</v>
      </c>
      <c r="H1199" s="58">
        <f>H1200</f>
        <v>100</v>
      </c>
      <c r="I1199" s="58">
        <f t="shared" ref="I1199:J1199" si="480">I1200</f>
        <v>0</v>
      </c>
      <c r="J1199" s="58">
        <f t="shared" si="480"/>
        <v>0</v>
      </c>
      <c r="K1199" s="58">
        <v>100</v>
      </c>
      <c r="L1199" s="58">
        <v>0</v>
      </c>
      <c r="M1199" s="58">
        <v>0</v>
      </c>
      <c r="N1199" s="58"/>
      <c r="O1199" s="58">
        <v>100</v>
      </c>
      <c r="P1199" s="58">
        <v>0</v>
      </c>
      <c r="Q1199" s="58">
        <v>0</v>
      </c>
      <c r="R1199" s="472">
        <f t="shared" si="464"/>
        <v>0</v>
      </c>
      <c r="S1199" s="472">
        <f t="shared" si="465"/>
        <v>0</v>
      </c>
      <c r="T1199" s="472">
        <f t="shared" si="466"/>
        <v>0</v>
      </c>
      <c r="U1199" s="182" t="s">
        <v>910</v>
      </c>
      <c r="V1199" s="36" t="s">
        <v>19</v>
      </c>
      <c r="W1199" s="37" t="s">
        <v>7</v>
      </c>
      <c r="X1199" s="37" t="s">
        <v>85</v>
      </c>
      <c r="Y1199" s="37" t="s">
        <v>881</v>
      </c>
      <c r="Z1199" s="37" t="s">
        <v>90</v>
      </c>
      <c r="AA1199" s="12" t="b">
        <f t="shared" si="470"/>
        <v>1</v>
      </c>
      <c r="AB1199" s="12" t="b">
        <f t="shared" si="471"/>
        <v>1</v>
      </c>
      <c r="AC1199" s="12" t="b">
        <f t="shared" si="472"/>
        <v>1</v>
      </c>
      <c r="AD1199" s="12" t="b">
        <f t="shared" si="473"/>
        <v>1</v>
      </c>
      <c r="AE1199" s="12" t="b">
        <f t="shared" si="474"/>
        <v>1</v>
      </c>
      <c r="AF1199" s="12" t="b">
        <f t="shared" si="475"/>
        <v>1</v>
      </c>
    </row>
    <row r="1200" spans="1:32" s="319" customFormat="1" ht="15.75" customHeight="1">
      <c r="A1200" s="285"/>
      <c r="B1200" s="114" t="s">
        <v>216</v>
      </c>
      <c r="C1200" s="112" t="s">
        <v>19</v>
      </c>
      <c r="D1200" s="112" t="s">
        <v>7</v>
      </c>
      <c r="E1200" s="112" t="s">
        <v>85</v>
      </c>
      <c r="F1200" s="112" t="s">
        <v>881</v>
      </c>
      <c r="G1200" s="111" t="s">
        <v>141</v>
      </c>
      <c r="H1200" s="115">
        <v>100</v>
      </c>
      <c r="I1200" s="115">
        <v>0</v>
      </c>
      <c r="J1200" s="115">
        <v>0</v>
      </c>
      <c r="K1200" s="115">
        <v>100</v>
      </c>
      <c r="L1200" s="115">
        <v>0</v>
      </c>
      <c r="M1200" s="115">
        <v>0</v>
      </c>
      <c r="N1200" s="115"/>
      <c r="O1200" s="115">
        <v>100</v>
      </c>
      <c r="P1200" s="115">
        <v>0</v>
      </c>
      <c r="Q1200" s="115">
        <v>0</v>
      </c>
      <c r="R1200" s="472">
        <f t="shared" si="464"/>
        <v>0</v>
      </c>
      <c r="S1200" s="472">
        <f t="shared" si="465"/>
        <v>0</v>
      </c>
      <c r="T1200" s="472">
        <f t="shared" si="466"/>
        <v>0</v>
      </c>
      <c r="U1200" s="114" t="s">
        <v>216</v>
      </c>
      <c r="V1200" s="112" t="s">
        <v>19</v>
      </c>
      <c r="W1200" s="112" t="s">
        <v>7</v>
      </c>
      <c r="X1200" s="112" t="s">
        <v>85</v>
      </c>
      <c r="Y1200" s="112" t="s">
        <v>881</v>
      </c>
      <c r="Z1200" s="111" t="s">
        <v>141</v>
      </c>
      <c r="AA1200" s="12" t="b">
        <f t="shared" si="470"/>
        <v>1</v>
      </c>
      <c r="AB1200" s="12" t="b">
        <f t="shared" si="471"/>
        <v>1</v>
      </c>
      <c r="AC1200" s="12" t="b">
        <f t="shared" si="472"/>
        <v>1</v>
      </c>
      <c r="AD1200" s="12" t="b">
        <f t="shared" si="473"/>
        <v>1</v>
      </c>
      <c r="AE1200" s="12" t="b">
        <f t="shared" si="474"/>
        <v>1</v>
      </c>
      <c r="AF1200" s="12" t="b">
        <f t="shared" si="475"/>
        <v>1</v>
      </c>
    </row>
    <row r="1201" spans="1:32" s="12" customFormat="1" ht="15.75" customHeight="1">
      <c r="A1201" s="285"/>
      <c r="B1201" s="182" t="s">
        <v>671</v>
      </c>
      <c r="C1201" s="57" t="s">
        <v>19</v>
      </c>
      <c r="D1201" s="57" t="s">
        <v>7</v>
      </c>
      <c r="E1201" s="57" t="s">
        <v>85</v>
      </c>
      <c r="F1201" s="57" t="s">
        <v>326</v>
      </c>
      <c r="G1201" s="57" t="s">
        <v>90</v>
      </c>
      <c r="H1201" s="71">
        <f t="shared" ref="H1201:J1203" si="481">H1202</f>
        <v>3385.52</v>
      </c>
      <c r="I1201" s="71">
        <f t="shared" si="481"/>
        <v>3385.52</v>
      </c>
      <c r="J1201" s="71">
        <f t="shared" si="481"/>
        <v>3385.52</v>
      </c>
      <c r="K1201" s="71">
        <v>3385.52</v>
      </c>
      <c r="L1201" s="71">
        <v>3385.52</v>
      </c>
      <c r="M1201" s="71">
        <v>3385.52</v>
      </c>
      <c r="N1201" s="71"/>
      <c r="O1201" s="71">
        <v>3385.52</v>
      </c>
      <c r="P1201" s="71">
        <v>3385.52</v>
      </c>
      <c r="Q1201" s="71">
        <v>3385.52</v>
      </c>
      <c r="R1201" s="472">
        <f t="shared" si="464"/>
        <v>0</v>
      </c>
      <c r="S1201" s="472">
        <f t="shared" si="465"/>
        <v>0</v>
      </c>
      <c r="T1201" s="472">
        <f t="shared" si="466"/>
        <v>0</v>
      </c>
      <c r="U1201" s="182" t="s">
        <v>671</v>
      </c>
      <c r="V1201" s="57" t="s">
        <v>19</v>
      </c>
      <c r="W1201" s="57" t="s">
        <v>7</v>
      </c>
      <c r="X1201" s="57" t="s">
        <v>85</v>
      </c>
      <c r="Y1201" s="57" t="s">
        <v>326</v>
      </c>
      <c r="Z1201" s="57" t="s">
        <v>90</v>
      </c>
      <c r="AA1201" s="12" t="b">
        <f t="shared" si="470"/>
        <v>1</v>
      </c>
      <c r="AB1201" s="12" t="b">
        <f t="shared" si="471"/>
        <v>1</v>
      </c>
      <c r="AC1201" s="12" t="b">
        <f t="shared" si="472"/>
        <v>1</v>
      </c>
      <c r="AD1201" s="12" t="b">
        <f t="shared" si="473"/>
        <v>1</v>
      </c>
      <c r="AE1201" s="12" t="b">
        <f t="shared" si="474"/>
        <v>1</v>
      </c>
      <c r="AF1201" s="12" t="b">
        <f t="shared" si="475"/>
        <v>1</v>
      </c>
    </row>
    <row r="1202" spans="1:32" s="12" customFormat="1" ht="15.75" customHeight="1">
      <c r="A1202" s="285"/>
      <c r="B1202" s="54" t="s">
        <v>672</v>
      </c>
      <c r="C1202" s="57" t="s">
        <v>19</v>
      </c>
      <c r="D1202" s="57" t="s">
        <v>7</v>
      </c>
      <c r="E1202" s="57" t="s">
        <v>85</v>
      </c>
      <c r="F1202" s="57" t="s">
        <v>327</v>
      </c>
      <c r="G1202" s="57" t="s">
        <v>90</v>
      </c>
      <c r="H1202" s="71">
        <f t="shared" si="481"/>
        <v>3385.52</v>
      </c>
      <c r="I1202" s="71">
        <f t="shared" si="481"/>
        <v>3385.52</v>
      </c>
      <c r="J1202" s="71">
        <f t="shared" si="481"/>
        <v>3385.52</v>
      </c>
      <c r="K1202" s="71">
        <v>3385.52</v>
      </c>
      <c r="L1202" s="71">
        <v>3385.52</v>
      </c>
      <c r="M1202" s="71">
        <v>3385.52</v>
      </c>
      <c r="N1202" s="71"/>
      <c r="O1202" s="71">
        <v>3385.52</v>
      </c>
      <c r="P1202" s="71">
        <v>3385.52</v>
      </c>
      <c r="Q1202" s="71">
        <v>3385.52</v>
      </c>
      <c r="R1202" s="472">
        <f t="shared" ref="R1202:R1263" si="482">H1202-O1202</f>
        <v>0</v>
      </c>
      <c r="S1202" s="472">
        <f t="shared" ref="S1202:S1263" si="483">I1202-P1202</f>
        <v>0</v>
      </c>
      <c r="T1202" s="472">
        <f t="shared" ref="T1202:T1263" si="484">J1202-Q1202</f>
        <v>0</v>
      </c>
      <c r="U1202" s="54" t="s">
        <v>672</v>
      </c>
      <c r="V1202" s="57" t="s">
        <v>19</v>
      </c>
      <c r="W1202" s="57" t="s">
        <v>7</v>
      </c>
      <c r="X1202" s="57" t="s">
        <v>85</v>
      </c>
      <c r="Y1202" s="57" t="s">
        <v>327</v>
      </c>
      <c r="Z1202" s="57" t="s">
        <v>90</v>
      </c>
      <c r="AA1202" s="12" t="b">
        <f t="shared" si="470"/>
        <v>1</v>
      </c>
      <c r="AB1202" s="12" t="b">
        <f t="shared" si="471"/>
        <v>1</v>
      </c>
      <c r="AC1202" s="12" t="b">
        <f t="shared" si="472"/>
        <v>1</v>
      </c>
      <c r="AD1202" s="12" t="b">
        <f t="shared" si="473"/>
        <v>1</v>
      </c>
      <c r="AE1202" s="12" t="b">
        <f t="shared" si="474"/>
        <v>1</v>
      </c>
      <c r="AF1202" s="12" t="b">
        <f t="shared" si="475"/>
        <v>1</v>
      </c>
    </row>
    <row r="1203" spans="1:32" s="12" customFormat="1" ht="15.75" customHeight="1">
      <c r="A1203" s="285"/>
      <c r="B1203" s="54" t="s">
        <v>457</v>
      </c>
      <c r="C1203" s="57" t="s">
        <v>19</v>
      </c>
      <c r="D1203" s="57" t="s">
        <v>7</v>
      </c>
      <c r="E1203" s="57" t="s">
        <v>85</v>
      </c>
      <c r="F1203" s="57" t="s">
        <v>458</v>
      </c>
      <c r="G1203" s="57" t="s">
        <v>90</v>
      </c>
      <c r="H1203" s="71">
        <f t="shared" si="481"/>
        <v>3385.52</v>
      </c>
      <c r="I1203" s="71">
        <f t="shared" si="481"/>
        <v>3385.52</v>
      </c>
      <c r="J1203" s="71">
        <f t="shared" si="481"/>
        <v>3385.52</v>
      </c>
      <c r="K1203" s="71">
        <v>3385.52</v>
      </c>
      <c r="L1203" s="71">
        <v>3385.52</v>
      </c>
      <c r="M1203" s="71">
        <v>3385.52</v>
      </c>
      <c r="N1203" s="71"/>
      <c r="O1203" s="71">
        <v>3385.52</v>
      </c>
      <c r="P1203" s="71">
        <v>3385.52</v>
      </c>
      <c r="Q1203" s="71">
        <v>3385.52</v>
      </c>
      <c r="R1203" s="472">
        <f t="shared" si="482"/>
        <v>0</v>
      </c>
      <c r="S1203" s="472">
        <f t="shared" si="483"/>
        <v>0</v>
      </c>
      <c r="T1203" s="472">
        <f t="shared" si="484"/>
        <v>0</v>
      </c>
      <c r="U1203" s="54" t="s">
        <v>457</v>
      </c>
      <c r="V1203" s="57" t="s">
        <v>19</v>
      </c>
      <c r="W1203" s="57" t="s">
        <v>7</v>
      </c>
      <c r="X1203" s="57" t="s">
        <v>85</v>
      </c>
      <c r="Y1203" s="57" t="s">
        <v>458</v>
      </c>
      <c r="Z1203" s="57" t="s">
        <v>90</v>
      </c>
      <c r="AA1203" s="12" t="b">
        <f t="shared" si="470"/>
        <v>1</v>
      </c>
      <c r="AB1203" s="12" t="b">
        <f t="shared" si="471"/>
        <v>1</v>
      </c>
      <c r="AC1203" s="12" t="b">
        <f t="shared" si="472"/>
        <v>1</v>
      </c>
      <c r="AD1203" s="12" t="b">
        <f t="shared" si="473"/>
        <v>1</v>
      </c>
      <c r="AE1203" s="12" t="b">
        <f t="shared" si="474"/>
        <v>1</v>
      </c>
      <c r="AF1203" s="12" t="b">
        <f t="shared" si="475"/>
        <v>1</v>
      </c>
    </row>
    <row r="1204" spans="1:32" s="12" customFormat="1" ht="15.75" customHeight="1">
      <c r="A1204" s="285"/>
      <c r="B1204" s="23" t="s">
        <v>811</v>
      </c>
      <c r="C1204" s="37" t="s">
        <v>19</v>
      </c>
      <c r="D1204" s="37" t="s">
        <v>7</v>
      </c>
      <c r="E1204" s="37" t="s">
        <v>85</v>
      </c>
      <c r="F1204" s="37" t="s">
        <v>459</v>
      </c>
      <c r="G1204" s="37" t="s">
        <v>90</v>
      </c>
      <c r="H1204" s="72">
        <f>H1205</f>
        <v>3385.52</v>
      </c>
      <c r="I1204" s="72">
        <f>I1205</f>
        <v>3385.52</v>
      </c>
      <c r="J1204" s="72">
        <f>J1205</f>
        <v>3385.52</v>
      </c>
      <c r="K1204" s="72">
        <v>3385.52</v>
      </c>
      <c r="L1204" s="72">
        <v>3385.52</v>
      </c>
      <c r="M1204" s="72">
        <v>3385.52</v>
      </c>
      <c r="N1204" s="72"/>
      <c r="O1204" s="72">
        <v>3385.52</v>
      </c>
      <c r="P1204" s="72">
        <v>3385.52</v>
      </c>
      <c r="Q1204" s="72">
        <v>3385.52</v>
      </c>
      <c r="R1204" s="472">
        <f t="shared" si="482"/>
        <v>0</v>
      </c>
      <c r="S1204" s="472">
        <f t="shared" si="483"/>
        <v>0</v>
      </c>
      <c r="T1204" s="472">
        <f t="shared" si="484"/>
        <v>0</v>
      </c>
      <c r="U1204" s="23" t="s">
        <v>811</v>
      </c>
      <c r="V1204" s="37" t="s">
        <v>19</v>
      </c>
      <c r="W1204" s="37" t="s">
        <v>7</v>
      </c>
      <c r="X1204" s="37" t="s">
        <v>85</v>
      </c>
      <c r="Y1204" s="37" t="s">
        <v>459</v>
      </c>
      <c r="Z1204" s="37" t="s">
        <v>90</v>
      </c>
      <c r="AA1204" s="12" t="b">
        <f t="shared" si="470"/>
        <v>1</v>
      </c>
      <c r="AB1204" s="12" t="b">
        <f t="shared" si="471"/>
        <v>1</v>
      </c>
      <c r="AC1204" s="12" t="b">
        <f t="shared" si="472"/>
        <v>1</v>
      </c>
      <c r="AD1204" s="12" t="b">
        <f t="shared" si="473"/>
        <v>1</v>
      </c>
      <c r="AE1204" s="12" t="b">
        <f t="shared" si="474"/>
        <v>1</v>
      </c>
      <c r="AF1204" s="12" t="b">
        <f t="shared" si="475"/>
        <v>1</v>
      </c>
    </row>
    <row r="1205" spans="1:32" s="12" customFormat="1" ht="15.75" customHeight="1">
      <c r="A1205" s="285"/>
      <c r="B1205" s="182" t="s">
        <v>145</v>
      </c>
      <c r="C1205" s="37" t="s">
        <v>19</v>
      </c>
      <c r="D1205" s="37" t="s">
        <v>7</v>
      </c>
      <c r="E1205" s="37" t="s">
        <v>85</v>
      </c>
      <c r="F1205" s="37" t="s">
        <v>459</v>
      </c>
      <c r="G1205" s="37" t="s">
        <v>153</v>
      </c>
      <c r="H1205" s="72">
        <v>3385.52</v>
      </c>
      <c r="I1205" s="72">
        <v>3385.52</v>
      </c>
      <c r="J1205" s="72">
        <v>3385.52</v>
      </c>
      <c r="K1205" s="72">
        <v>3385.52</v>
      </c>
      <c r="L1205" s="72">
        <v>3385.52</v>
      </c>
      <c r="M1205" s="72">
        <v>3385.52</v>
      </c>
      <c r="N1205" s="72"/>
      <c r="O1205" s="72">
        <v>3385.52</v>
      </c>
      <c r="P1205" s="72">
        <v>3385.52</v>
      </c>
      <c r="Q1205" s="72">
        <v>3385.52</v>
      </c>
      <c r="R1205" s="472">
        <f t="shared" si="482"/>
        <v>0</v>
      </c>
      <c r="S1205" s="472">
        <f t="shared" si="483"/>
        <v>0</v>
      </c>
      <c r="T1205" s="472">
        <f t="shared" si="484"/>
        <v>0</v>
      </c>
      <c r="U1205" s="182" t="s">
        <v>145</v>
      </c>
      <c r="V1205" s="37" t="s">
        <v>19</v>
      </c>
      <c r="W1205" s="37" t="s">
        <v>7</v>
      </c>
      <c r="X1205" s="37" t="s">
        <v>85</v>
      </c>
      <c r="Y1205" s="37" t="s">
        <v>459</v>
      </c>
      <c r="Z1205" s="37" t="s">
        <v>153</v>
      </c>
      <c r="AA1205" s="12" t="b">
        <f t="shared" si="470"/>
        <v>1</v>
      </c>
      <c r="AB1205" s="12" t="b">
        <f t="shared" si="471"/>
        <v>1</v>
      </c>
      <c r="AC1205" s="12" t="b">
        <f t="shared" si="472"/>
        <v>1</v>
      </c>
      <c r="AD1205" s="12" t="b">
        <f t="shared" si="473"/>
        <v>1</v>
      </c>
      <c r="AE1205" s="12" t="b">
        <f t="shared" si="474"/>
        <v>1</v>
      </c>
      <c r="AF1205" s="12" t="b">
        <f t="shared" si="475"/>
        <v>1</v>
      </c>
    </row>
    <row r="1206" spans="1:32" s="12" customFormat="1" ht="15.75" customHeight="1">
      <c r="A1206" s="285"/>
      <c r="B1206" s="182" t="s">
        <v>794</v>
      </c>
      <c r="C1206" s="37" t="s">
        <v>19</v>
      </c>
      <c r="D1206" s="37" t="s">
        <v>7</v>
      </c>
      <c r="E1206" s="37" t="s">
        <v>85</v>
      </c>
      <c r="F1206" s="37" t="s">
        <v>796</v>
      </c>
      <c r="G1206" s="37" t="s">
        <v>90</v>
      </c>
      <c r="H1206" s="72">
        <f>H1207</f>
        <v>196756.9</v>
      </c>
      <c r="I1206" s="72">
        <f>I1207</f>
        <v>4589.93</v>
      </c>
      <c r="J1206" s="72">
        <f>J1207</f>
        <v>0</v>
      </c>
      <c r="K1206" s="72">
        <v>4589.93</v>
      </c>
      <c r="L1206" s="72">
        <v>4589.93</v>
      </c>
      <c r="M1206" s="72">
        <v>0</v>
      </c>
      <c r="N1206" s="72"/>
      <c r="O1206" s="72">
        <v>4589.93</v>
      </c>
      <c r="P1206" s="72">
        <v>4589.93</v>
      </c>
      <c r="Q1206" s="72">
        <v>0</v>
      </c>
      <c r="R1206" s="472">
        <f t="shared" si="482"/>
        <v>192166.97</v>
      </c>
      <c r="S1206" s="472">
        <f t="shared" si="483"/>
        <v>0</v>
      </c>
      <c r="T1206" s="472">
        <f t="shared" si="484"/>
        <v>0</v>
      </c>
      <c r="U1206" s="182" t="s">
        <v>794</v>
      </c>
      <c r="V1206" s="37" t="s">
        <v>19</v>
      </c>
      <c r="W1206" s="37" t="s">
        <v>7</v>
      </c>
      <c r="X1206" s="37" t="s">
        <v>85</v>
      </c>
      <c r="Y1206" s="37" t="s">
        <v>796</v>
      </c>
      <c r="Z1206" s="37" t="s">
        <v>90</v>
      </c>
      <c r="AA1206" s="12" t="b">
        <f t="shared" si="470"/>
        <v>1</v>
      </c>
      <c r="AB1206" s="12" t="b">
        <f t="shared" si="471"/>
        <v>1</v>
      </c>
      <c r="AC1206" s="12" t="b">
        <f t="shared" si="472"/>
        <v>1</v>
      </c>
      <c r="AD1206" s="12" t="b">
        <f t="shared" si="473"/>
        <v>1</v>
      </c>
      <c r="AE1206" s="12" t="b">
        <f t="shared" si="474"/>
        <v>1</v>
      </c>
      <c r="AF1206" s="12" t="b">
        <f t="shared" si="475"/>
        <v>1</v>
      </c>
    </row>
    <row r="1207" spans="1:32" s="12" customFormat="1" ht="15.75" customHeight="1">
      <c r="A1207" s="285"/>
      <c r="B1207" s="182" t="s">
        <v>795</v>
      </c>
      <c r="C1207" s="37" t="s">
        <v>19</v>
      </c>
      <c r="D1207" s="37" t="s">
        <v>7</v>
      </c>
      <c r="E1207" s="37" t="s">
        <v>85</v>
      </c>
      <c r="F1207" s="37" t="s">
        <v>797</v>
      </c>
      <c r="G1207" s="37" t="s">
        <v>90</v>
      </c>
      <c r="H1207" s="72">
        <f>H1208+H1212+H1215</f>
        <v>196756.9</v>
      </c>
      <c r="I1207" s="72">
        <f>I1208+I1212+I1215</f>
        <v>4589.93</v>
      </c>
      <c r="J1207" s="72">
        <f>J1208+J1212+J1215</f>
        <v>0</v>
      </c>
      <c r="K1207" s="72">
        <v>4589.93</v>
      </c>
      <c r="L1207" s="72">
        <v>4589.93</v>
      </c>
      <c r="M1207" s="72">
        <v>0</v>
      </c>
      <c r="N1207" s="72"/>
      <c r="O1207" s="72">
        <v>4589.93</v>
      </c>
      <c r="P1207" s="72">
        <v>4589.93</v>
      </c>
      <c r="Q1207" s="72">
        <v>0</v>
      </c>
      <c r="R1207" s="472">
        <f t="shared" si="482"/>
        <v>192166.97</v>
      </c>
      <c r="S1207" s="472">
        <f t="shared" si="483"/>
        <v>0</v>
      </c>
      <c r="T1207" s="472">
        <f t="shared" si="484"/>
        <v>0</v>
      </c>
      <c r="U1207" s="182" t="s">
        <v>795</v>
      </c>
      <c r="V1207" s="37" t="s">
        <v>19</v>
      </c>
      <c r="W1207" s="37" t="s">
        <v>7</v>
      </c>
      <c r="X1207" s="37" t="s">
        <v>85</v>
      </c>
      <c r="Y1207" s="37" t="s">
        <v>797</v>
      </c>
      <c r="Z1207" s="37" t="s">
        <v>90</v>
      </c>
      <c r="AA1207" s="12" t="b">
        <f t="shared" si="470"/>
        <v>1</v>
      </c>
      <c r="AB1207" s="12" t="b">
        <f t="shared" si="471"/>
        <v>1</v>
      </c>
      <c r="AC1207" s="12" t="b">
        <f t="shared" si="472"/>
        <v>1</v>
      </c>
      <c r="AD1207" s="12" t="b">
        <f t="shared" si="473"/>
        <v>1</v>
      </c>
      <c r="AE1207" s="12" t="b">
        <f t="shared" si="474"/>
        <v>1</v>
      </c>
      <c r="AF1207" s="12" t="b">
        <f t="shared" si="475"/>
        <v>1</v>
      </c>
    </row>
    <row r="1208" spans="1:32" s="12" customFormat="1" ht="15.75" customHeight="1">
      <c r="A1208" s="285"/>
      <c r="B1208" s="182" t="s">
        <v>1004</v>
      </c>
      <c r="C1208" s="37" t="s">
        <v>19</v>
      </c>
      <c r="D1208" s="37" t="s">
        <v>7</v>
      </c>
      <c r="E1208" s="37" t="s">
        <v>85</v>
      </c>
      <c r="F1208" s="37" t="s">
        <v>1005</v>
      </c>
      <c r="G1208" s="37" t="s">
        <v>90</v>
      </c>
      <c r="H1208" s="72">
        <f t="shared" ref="H1208:J1209" si="485">H1209</f>
        <v>196047.05</v>
      </c>
      <c r="I1208" s="72">
        <f t="shared" si="485"/>
        <v>3880.08</v>
      </c>
      <c r="J1208" s="72">
        <f t="shared" si="485"/>
        <v>0</v>
      </c>
      <c r="K1208" s="72">
        <v>3880.08</v>
      </c>
      <c r="L1208" s="72">
        <v>3880.08</v>
      </c>
      <c r="M1208" s="72">
        <v>0</v>
      </c>
      <c r="N1208" s="72"/>
      <c r="O1208" s="72">
        <v>3880.08</v>
      </c>
      <c r="P1208" s="72">
        <v>3880.08</v>
      </c>
      <c r="Q1208" s="72">
        <v>0</v>
      </c>
      <c r="R1208" s="472">
        <f t="shared" si="482"/>
        <v>192166.97</v>
      </c>
      <c r="S1208" s="472">
        <f t="shared" si="483"/>
        <v>0</v>
      </c>
      <c r="T1208" s="472">
        <f t="shared" si="484"/>
        <v>0</v>
      </c>
      <c r="U1208" s="182" t="s">
        <v>1004</v>
      </c>
      <c r="V1208" s="37" t="s">
        <v>19</v>
      </c>
      <c r="W1208" s="37" t="s">
        <v>7</v>
      </c>
      <c r="X1208" s="37" t="s">
        <v>85</v>
      </c>
      <c r="Y1208" s="37" t="s">
        <v>1005</v>
      </c>
      <c r="Z1208" s="37" t="s">
        <v>90</v>
      </c>
      <c r="AA1208" s="12" t="b">
        <f t="shared" si="470"/>
        <v>1</v>
      </c>
      <c r="AB1208" s="12" t="b">
        <f t="shared" si="471"/>
        <v>1</v>
      </c>
      <c r="AC1208" s="12" t="b">
        <f t="shared" si="472"/>
        <v>1</v>
      </c>
      <c r="AD1208" s="12" t="b">
        <f t="shared" si="473"/>
        <v>1</v>
      </c>
      <c r="AE1208" s="12" t="b">
        <f t="shared" si="474"/>
        <v>1</v>
      </c>
      <c r="AF1208" s="12" t="b">
        <f t="shared" si="475"/>
        <v>1</v>
      </c>
    </row>
    <row r="1209" spans="1:32" s="12" customFormat="1" ht="15.75" customHeight="1">
      <c r="A1209" s="285"/>
      <c r="B1209" s="182" t="s">
        <v>862</v>
      </c>
      <c r="C1209" s="37" t="s">
        <v>19</v>
      </c>
      <c r="D1209" s="37" t="s">
        <v>7</v>
      </c>
      <c r="E1209" s="37" t="s">
        <v>85</v>
      </c>
      <c r="F1209" s="37" t="s">
        <v>861</v>
      </c>
      <c r="G1209" s="37" t="s">
        <v>90</v>
      </c>
      <c r="H1209" s="69">
        <f t="shared" si="485"/>
        <v>196047.05</v>
      </c>
      <c r="I1209" s="69">
        <f t="shared" si="485"/>
        <v>3880.08</v>
      </c>
      <c r="J1209" s="69">
        <f t="shared" si="485"/>
        <v>0</v>
      </c>
      <c r="K1209" s="69">
        <v>3880.08</v>
      </c>
      <c r="L1209" s="69">
        <v>3880.08</v>
      </c>
      <c r="M1209" s="69">
        <v>0</v>
      </c>
      <c r="N1209" s="69"/>
      <c r="O1209" s="69">
        <v>3880.08</v>
      </c>
      <c r="P1209" s="69">
        <v>3880.08</v>
      </c>
      <c r="Q1209" s="69">
        <v>0</v>
      </c>
      <c r="R1209" s="472">
        <f t="shared" si="482"/>
        <v>192166.97</v>
      </c>
      <c r="S1209" s="472">
        <f t="shared" si="483"/>
        <v>0</v>
      </c>
      <c r="T1209" s="472">
        <f t="shared" si="484"/>
        <v>0</v>
      </c>
      <c r="U1209" s="182" t="s">
        <v>862</v>
      </c>
      <c r="V1209" s="37" t="s">
        <v>19</v>
      </c>
      <c r="W1209" s="37" t="s">
        <v>7</v>
      </c>
      <c r="X1209" s="37" t="s">
        <v>85</v>
      </c>
      <c r="Y1209" s="37" t="s">
        <v>861</v>
      </c>
      <c r="Z1209" s="37" t="s">
        <v>90</v>
      </c>
      <c r="AA1209" s="12" t="b">
        <f t="shared" si="470"/>
        <v>1</v>
      </c>
      <c r="AB1209" s="12" t="b">
        <f t="shared" si="471"/>
        <v>1</v>
      </c>
      <c r="AC1209" s="12" t="b">
        <f t="shared" si="472"/>
        <v>1</v>
      </c>
      <c r="AD1209" s="12" t="b">
        <f t="shared" si="473"/>
        <v>1</v>
      </c>
      <c r="AE1209" s="12" t="b">
        <f t="shared" si="474"/>
        <v>1</v>
      </c>
      <c r="AF1209" s="12" t="b">
        <f t="shared" si="475"/>
        <v>1</v>
      </c>
    </row>
    <row r="1210" spans="1:32" s="12" customFormat="1" ht="15.75" customHeight="1">
      <c r="A1210" s="285"/>
      <c r="B1210" s="182" t="s">
        <v>863</v>
      </c>
      <c r="C1210" s="37" t="s">
        <v>19</v>
      </c>
      <c r="D1210" s="37" t="s">
        <v>7</v>
      </c>
      <c r="E1210" s="37" t="s">
        <v>85</v>
      </c>
      <c r="F1210" s="37" t="s">
        <v>860</v>
      </c>
      <c r="G1210" s="37" t="s">
        <v>90</v>
      </c>
      <c r="H1210" s="69">
        <f>H1211</f>
        <v>196047.05</v>
      </c>
      <c r="I1210" s="69">
        <f>I1211</f>
        <v>3880.08</v>
      </c>
      <c r="J1210" s="69">
        <f>J1211</f>
        <v>0</v>
      </c>
      <c r="K1210" s="69">
        <v>3880.08</v>
      </c>
      <c r="L1210" s="69">
        <v>3880.08</v>
      </c>
      <c r="M1210" s="69">
        <v>0</v>
      </c>
      <c r="N1210" s="69"/>
      <c r="O1210" s="69">
        <v>3880.08</v>
      </c>
      <c r="P1210" s="69">
        <v>3880.08</v>
      </c>
      <c r="Q1210" s="69">
        <v>0</v>
      </c>
      <c r="R1210" s="472">
        <f t="shared" si="482"/>
        <v>192166.97</v>
      </c>
      <c r="S1210" s="472">
        <f t="shared" si="483"/>
        <v>0</v>
      </c>
      <c r="T1210" s="472">
        <f t="shared" si="484"/>
        <v>0</v>
      </c>
      <c r="U1210" s="182" t="s">
        <v>863</v>
      </c>
      <c r="V1210" s="37" t="s">
        <v>19</v>
      </c>
      <c r="W1210" s="37" t="s">
        <v>7</v>
      </c>
      <c r="X1210" s="37" t="s">
        <v>85</v>
      </c>
      <c r="Y1210" s="37" t="s">
        <v>860</v>
      </c>
      <c r="Z1210" s="37" t="s">
        <v>90</v>
      </c>
      <c r="AA1210" s="12" t="b">
        <f t="shared" si="470"/>
        <v>1</v>
      </c>
      <c r="AB1210" s="12" t="b">
        <f t="shared" si="471"/>
        <v>1</v>
      </c>
      <c r="AC1210" s="12" t="b">
        <f t="shared" si="472"/>
        <v>1</v>
      </c>
      <c r="AD1210" s="12" t="b">
        <f t="shared" si="473"/>
        <v>1</v>
      </c>
      <c r="AE1210" s="12" t="b">
        <f t="shared" si="474"/>
        <v>1</v>
      </c>
      <c r="AF1210" s="12" t="b">
        <f t="shared" si="475"/>
        <v>1</v>
      </c>
    </row>
    <row r="1211" spans="1:32" s="12" customFormat="1" ht="15.75" customHeight="1">
      <c r="A1211" s="285"/>
      <c r="B1211" s="182" t="s">
        <v>145</v>
      </c>
      <c r="C1211" s="37" t="s">
        <v>19</v>
      </c>
      <c r="D1211" s="37" t="s">
        <v>7</v>
      </c>
      <c r="E1211" s="37" t="s">
        <v>85</v>
      </c>
      <c r="F1211" s="37" t="s">
        <v>860</v>
      </c>
      <c r="G1211" s="37" t="s">
        <v>153</v>
      </c>
      <c r="H1211" s="69">
        <f>3880.08+192166.97</f>
        <v>196047.05</v>
      </c>
      <c r="I1211" s="69">
        <v>3880.08</v>
      </c>
      <c r="J1211" s="69">
        <v>0</v>
      </c>
      <c r="K1211" s="69">
        <v>3880.08</v>
      </c>
      <c r="L1211" s="69">
        <v>3880.08</v>
      </c>
      <c r="M1211" s="69">
        <v>0</v>
      </c>
      <c r="N1211" s="69"/>
      <c r="O1211" s="69">
        <v>3880.08</v>
      </c>
      <c r="P1211" s="69">
        <v>3880.08</v>
      </c>
      <c r="Q1211" s="69">
        <v>0</v>
      </c>
      <c r="R1211" s="472">
        <f t="shared" si="482"/>
        <v>192166.97</v>
      </c>
      <c r="S1211" s="472">
        <f t="shared" si="483"/>
        <v>0</v>
      </c>
      <c r="T1211" s="472">
        <f t="shared" si="484"/>
        <v>0</v>
      </c>
      <c r="U1211" s="182" t="s">
        <v>145</v>
      </c>
      <c r="V1211" s="37" t="s">
        <v>19</v>
      </c>
      <c r="W1211" s="37" t="s">
        <v>7</v>
      </c>
      <c r="X1211" s="37" t="s">
        <v>85</v>
      </c>
      <c r="Y1211" s="37" t="s">
        <v>860</v>
      </c>
      <c r="Z1211" s="37" t="s">
        <v>153</v>
      </c>
      <c r="AA1211" s="12" t="b">
        <f t="shared" si="470"/>
        <v>1</v>
      </c>
      <c r="AB1211" s="12" t="b">
        <f t="shared" si="471"/>
        <v>1</v>
      </c>
      <c r="AC1211" s="12" t="b">
        <f t="shared" si="472"/>
        <v>1</v>
      </c>
      <c r="AD1211" s="12" t="b">
        <f t="shared" si="473"/>
        <v>1</v>
      </c>
      <c r="AE1211" s="12" t="b">
        <f t="shared" si="474"/>
        <v>1</v>
      </c>
      <c r="AF1211" s="12" t="b">
        <f t="shared" si="475"/>
        <v>1</v>
      </c>
    </row>
    <row r="1212" spans="1:32" s="12" customFormat="1" ht="15.75" customHeight="1">
      <c r="A1212" s="285"/>
      <c r="B1212" s="182" t="s">
        <v>878</v>
      </c>
      <c r="C1212" s="37" t="s">
        <v>19</v>
      </c>
      <c r="D1212" s="37" t="s">
        <v>7</v>
      </c>
      <c r="E1212" s="37" t="s">
        <v>85</v>
      </c>
      <c r="F1212" s="37" t="s">
        <v>805</v>
      </c>
      <c r="G1212" s="37" t="s">
        <v>90</v>
      </c>
      <c r="H1212" s="69">
        <f t="shared" ref="H1212:J1215" si="486">H1213</f>
        <v>450</v>
      </c>
      <c r="I1212" s="69">
        <f t="shared" si="486"/>
        <v>450</v>
      </c>
      <c r="J1212" s="69">
        <f t="shared" si="486"/>
        <v>0</v>
      </c>
      <c r="K1212" s="69">
        <v>450</v>
      </c>
      <c r="L1212" s="69">
        <v>450</v>
      </c>
      <c r="M1212" s="69">
        <v>0</v>
      </c>
      <c r="N1212" s="69"/>
      <c r="O1212" s="69">
        <v>450</v>
      </c>
      <c r="P1212" s="69">
        <v>450</v>
      </c>
      <c r="Q1212" s="69">
        <v>0</v>
      </c>
      <c r="R1212" s="472">
        <f t="shared" si="482"/>
        <v>0</v>
      </c>
      <c r="S1212" s="472">
        <f t="shared" si="483"/>
        <v>0</v>
      </c>
      <c r="T1212" s="472">
        <f t="shared" si="484"/>
        <v>0</v>
      </c>
      <c r="U1212" s="182" t="s">
        <v>878</v>
      </c>
      <c r="V1212" s="37" t="s">
        <v>19</v>
      </c>
      <c r="W1212" s="37" t="s">
        <v>7</v>
      </c>
      <c r="X1212" s="37" t="s">
        <v>85</v>
      </c>
      <c r="Y1212" s="37" t="s">
        <v>805</v>
      </c>
      <c r="Z1212" s="37" t="s">
        <v>90</v>
      </c>
      <c r="AA1212" s="12" t="b">
        <f t="shared" si="470"/>
        <v>1</v>
      </c>
      <c r="AB1212" s="12" t="b">
        <f t="shared" si="471"/>
        <v>1</v>
      </c>
      <c r="AC1212" s="12" t="b">
        <f t="shared" si="472"/>
        <v>1</v>
      </c>
      <c r="AD1212" s="12" t="b">
        <f t="shared" si="473"/>
        <v>1</v>
      </c>
      <c r="AE1212" s="12" t="b">
        <f t="shared" si="474"/>
        <v>1</v>
      </c>
      <c r="AF1212" s="12" t="b">
        <f t="shared" si="475"/>
        <v>1</v>
      </c>
    </row>
    <row r="1213" spans="1:32" s="12" customFormat="1" ht="15.75" customHeight="1">
      <c r="A1213" s="285"/>
      <c r="B1213" s="178" t="s">
        <v>187</v>
      </c>
      <c r="C1213" s="37" t="s">
        <v>19</v>
      </c>
      <c r="D1213" s="37" t="s">
        <v>7</v>
      </c>
      <c r="E1213" s="37" t="s">
        <v>85</v>
      </c>
      <c r="F1213" s="37" t="s">
        <v>806</v>
      </c>
      <c r="G1213" s="37" t="s">
        <v>90</v>
      </c>
      <c r="H1213" s="69">
        <f t="shared" si="486"/>
        <v>450</v>
      </c>
      <c r="I1213" s="69">
        <f t="shared" si="486"/>
        <v>450</v>
      </c>
      <c r="J1213" s="69">
        <f t="shared" si="486"/>
        <v>0</v>
      </c>
      <c r="K1213" s="69">
        <v>450</v>
      </c>
      <c r="L1213" s="69">
        <v>450</v>
      </c>
      <c r="M1213" s="69">
        <v>0</v>
      </c>
      <c r="N1213" s="69"/>
      <c r="O1213" s="69">
        <v>450</v>
      </c>
      <c r="P1213" s="69">
        <v>450</v>
      </c>
      <c r="Q1213" s="69">
        <v>0</v>
      </c>
      <c r="R1213" s="472">
        <f t="shared" si="482"/>
        <v>0</v>
      </c>
      <c r="S1213" s="472">
        <f t="shared" si="483"/>
        <v>0</v>
      </c>
      <c r="T1213" s="472">
        <f t="shared" si="484"/>
        <v>0</v>
      </c>
      <c r="U1213" s="178" t="s">
        <v>187</v>
      </c>
      <c r="V1213" s="37" t="s">
        <v>19</v>
      </c>
      <c r="W1213" s="37" t="s">
        <v>7</v>
      </c>
      <c r="X1213" s="37" t="s">
        <v>85</v>
      </c>
      <c r="Y1213" s="37" t="s">
        <v>806</v>
      </c>
      <c r="Z1213" s="37" t="s">
        <v>90</v>
      </c>
      <c r="AA1213" s="12" t="b">
        <f t="shared" si="470"/>
        <v>1</v>
      </c>
      <c r="AB1213" s="12" t="b">
        <f t="shared" si="471"/>
        <v>1</v>
      </c>
      <c r="AC1213" s="12" t="b">
        <f t="shared" si="472"/>
        <v>1</v>
      </c>
      <c r="AD1213" s="12" t="b">
        <f t="shared" si="473"/>
        <v>1</v>
      </c>
      <c r="AE1213" s="12" t="b">
        <f t="shared" si="474"/>
        <v>1</v>
      </c>
      <c r="AF1213" s="12" t="b">
        <f t="shared" si="475"/>
        <v>1</v>
      </c>
    </row>
    <row r="1214" spans="1:32" s="12" customFormat="1" ht="15.75" customHeight="1">
      <c r="A1214" s="285"/>
      <c r="B1214" s="178" t="s">
        <v>145</v>
      </c>
      <c r="C1214" s="37" t="s">
        <v>19</v>
      </c>
      <c r="D1214" s="37" t="s">
        <v>7</v>
      </c>
      <c r="E1214" s="37" t="s">
        <v>85</v>
      </c>
      <c r="F1214" s="37" t="s">
        <v>806</v>
      </c>
      <c r="G1214" s="37" t="s">
        <v>153</v>
      </c>
      <c r="H1214" s="69">
        <v>450</v>
      </c>
      <c r="I1214" s="69">
        <v>450</v>
      </c>
      <c r="J1214" s="69">
        <v>0</v>
      </c>
      <c r="K1214" s="69">
        <v>450</v>
      </c>
      <c r="L1214" s="69">
        <v>450</v>
      </c>
      <c r="M1214" s="69">
        <v>0</v>
      </c>
      <c r="N1214" s="69"/>
      <c r="O1214" s="69">
        <v>450</v>
      </c>
      <c r="P1214" s="69">
        <v>450</v>
      </c>
      <c r="Q1214" s="69">
        <v>0</v>
      </c>
      <c r="R1214" s="472">
        <f t="shared" si="482"/>
        <v>0</v>
      </c>
      <c r="S1214" s="472">
        <f t="shared" si="483"/>
        <v>0</v>
      </c>
      <c r="T1214" s="472">
        <f t="shared" si="484"/>
        <v>0</v>
      </c>
      <c r="U1214" s="178" t="s">
        <v>145</v>
      </c>
      <c r="V1214" s="37" t="s">
        <v>19</v>
      </c>
      <c r="W1214" s="37" t="s">
        <v>7</v>
      </c>
      <c r="X1214" s="37" t="s">
        <v>85</v>
      </c>
      <c r="Y1214" s="37" t="s">
        <v>806</v>
      </c>
      <c r="Z1214" s="37" t="s">
        <v>153</v>
      </c>
      <c r="AA1214" s="12" t="b">
        <f t="shared" si="470"/>
        <v>1</v>
      </c>
      <c r="AB1214" s="12" t="b">
        <f t="shared" si="471"/>
        <v>1</v>
      </c>
      <c r="AC1214" s="12" t="b">
        <f t="shared" si="472"/>
        <v>1</v>
      </c>
      <c r="AD1214" s="12" t="b">
        <f t="shared" si="473"/>
        <v>1</v>
      </c>
      <c r="AE1214" s="12" t="b">
        <f t="shared" si="474"/>
        <v>1</v>
      </c>
      <c r="AF1214" s="12" t="b">
        <f t="shared" si="475"/>
        <v>1</v>
      </c>
    </row>
    <row r="1215" spans="1:32" s="12" customFormat="1" ht="15.75" customHeight="1">
      <c r="A1215" s="285"/>
      <c r="B1215" s="182" t="s">
        <v>989</v>
      </c>
      <c r="C1215" s="37" t="s">
        <v>19</v>
      </c>
      <c r="D1215" s="37" t="s">
        <v>7</v>
      </c>
      <c r="E1215" s="37" t="s">
        <v>85</v>
      </c>
      <c r="F1215" s="37" t="s">
        <v>984</v>
      </c>
      <c r="G1215" s="37" t="s">
        <v>90</v>
      </c>
      <c r="H1215" s="69">
        <f t="shared" si="486"/>
        <v>259.85000000000002</v>
      </c>
      <c r="I1215" s="69">
        <f t="shared" si="486"/>
        <v>259.85000000000002</v>
      </c>
      <c r="J1215" s="69">
        <f t="shared" si="486"/>
        <v>0</v>
      </c>
      <c r="K1215" s="69">
        <v>259.85000000000002</v>
      </c>
      <c r="L1215" s="69">
        <v>259.85000000000002</v>
      </c>
      <c r="M1215" s="69">
        <v>0</v>
      </c>
      <c r="N1215" s="69"/>
      <c r="O1215" s="69">
        <v>259.85000000000002</v>
      </c>
      <c r="P1215" s="69">
        <v>259.85000000000002</v>
      </c>
      <c r="Q1215" s="69">
        <v>0</v>
      </c>
      <c r="R1215" s="472">
        <f t="shared" si="482"/>
        <v>0</v>
      </c>
      <c r="S1215" s="472">
        <f t="shared" si="483"/>
        <v>0</v>
      </c>
      <c r="T1215" s="472">
        <f t="shared" si="484"/>
        <v>0</v>
      </c>
      <c r="U1215" s="182" t="s">
        <v>989</v>
      </c>
      <c r="V1215" s="37" t="s">
        <v>19</v>
      </c>
      <c r="W1215" s="37" t="s">
        <v>7</v>
      </c>
      <c r="X1215" s="37" t="s">
        <v>85</v>
      </c>
      <c r="Y1215" s="37" t="s">
        <v>984</v>
      </c>
      <c r="Z1215" s="37" t="s">
        <v>90</v>
      </c>
      <c r="AA1215" s="12" t="b">
        <f t="shared" si="470"/>
        <v>1</v>
      </c>
      <c r="AB1215" s="12" t="b">
        <f t="shared" si="471"/>
        <v>1</v>
      </c>
      <c r="AC1215" s="12" t="b">
        <f t="shared" si="472"/>
        <v>1</v>
      </c>
      <c r="AD1215" s="12" t="b">
        <f t="shared" si="473"/>
        <v>1</v>
      </c>
      <c r="AE1215" s="12" t="b">
        <f t="shared" si="474"/>
        <v>1</v>
      </c>
      <c r="AF1215" s="12" t="b">
        <f t="shared" si="475"/>
        <v>1</v>
      </c>
    </row>
    <row r="1216" spans="1:32" s="12" customFormat="1" ht="15.75" customHeight="1">
      <c r="A1216" s="285"/>
      <c r="B1216" s="178" t="s">
        <v>187</v>
      </c>
      <c r="C1216" s="37" t="s">
        <v>19</v>
      </c>
      <c r="D1216" s="37" t="s">
        <v>7</v>
      </c>
      <c r="E1216" s="37" t="s">
        <v>85</v>
      </c>
      <c r="F1216" s="37" t="s">
        <v>985</v>
      </c>
      <c r="G1216" s="37" t="s">
        <v>90</v>
      </c>
      <c r="H1216" s="69">
        <f>H1217</f>
        <v>259.85000000000002</v>
      </c>
      <c r="I1216" s="69">
        <f>I1217</f>
        <v>259.85000000000002</v>
      </c>
      <c r="J1216" s="69">
        <f>J1217</f>
        <v>0</v>
      </c>
      <c r="K1216" s="69">
        <v>259.85000000000002</v>
      </c>
      <c r="L1216" s="69">
        <v>259.85000000000002</v>
      </c>
      <c r="M1216" s="69">
        <v>0</v>
      </c>
      <c r="N1216" s="69"/>
      <c r="O1216" s="69">
        <v>259.85000000000002</v>
      </c>
      <c r="P1216" s="69">
        <v>259.85000000000002</v>
      </c>
      <c r="Q1216" s="69">
        <v>0</v>
      </c>
      <c r="R1216" s="472">
        <f t="shared" si="482"/>
        <v>0</v>
      </c>
      <c r="S1216" s="472">
        <f t="shared" si="483"/>
        <v>0</v>
      </c>
      <c r="T1216" s="472">
        <f t="shared" si="484"/>
        <v>0</v>
      </c>
      <c r="U1216" s="178" t="s">
        <v>187</v>
      </c>
      <c r="V1216" s="37" t="s">
        <v>19</v>
      </c>
      <c r="W1216" s="37" t="s">
        <v>7</v>
      </c>
      <c r="X1216" s="37" t="s">
        <v>85</v>
      </c>
      <c r="Y1216" s="37" t="s">
        <v>985</v>
      </c>
      <c r="Z1216" s="37" t="s">
        <v>90</v>
      </c>
      <c r="AA1216" s="12" t="b">
        <f t="shared" si="470"/>
        <v>1</v>
      </c>
      <c r="AB1216" s="12" t="b">
        <f t="shared" si="471"/>
        <v>1</v>
      </c>
      <c r="AC1216" s="12" t="b">
        <f t="shared" si="472"/>
        <v>1</v>
      </c>
      <c r="AD1216" s="12" t="b">
        <f t="shared" si="473"/>
        <v>1</v>
      </c>
      <c r="AE1216" s="12" t="b">
        <f t="shared" si="474"/>
        <v>1</v>
      </c>
      <c r="AF1216" s="12" t="b">
        <f t="shared" si="475"/>
        <v>1</v>
      </c>
    </row>
    <row r="1217" spans="1:32" s="12" customFormat="1" ht="15.75" customHeight="1">
      <c r="A1217" s="285"/>
      <c r="B1217" s="178" t="s">
        <v>145</v>
      </c>
      <c r="C1217" s="37" t="s">
        <v>19</v>
      </c>
      <c r="D1217" s="37" t="s">
        <v>7</v>
      </c>
      <c r="E1217" s="37" t="s">
        <v>85</v>
      </c>
      <c r="F1217" s="37" t="s">
        <v>985</v>
      </c>
      <c r="G1217" s="37" t="s">
        <v>153</v>
      </c>
      <c r="H1217" s="69">
        <v>259.85000000000002</v>
      </c>
      <c r="I1217" s="69">
        <v>259.85000000000002</v>
      </c>
      <c r="J1217" s="69">
        <v>0</v>
      </c>
      <c r="K1217" s="69">
        <v>259.85000000000002</v>
      </c>
      <c r="L1217" s="69">
        <v>259.85000000000002</v>
      </c>
      <c r="M1217" s="69">
        <v>0</v>
      </c>
      <c r="N1217" s="69"/>
      <c r="O1217" s="69">
        <v>259.85000000000002</v>
      </c>
      <c r="P1217" s="69">
        <v>259.85000000000002</v>
      </c>
      <c r="Q1217" s="69">
        <v>0</v>
      </c>
      <c r="R1217" s="472">
        <f t="shared" si="482"/>
        <v>0</v>
      </c>
      <c r="S1217" s="472">
        <f t="shared" si="483"/>
        <v>0</v>
      </c>
      <c r="T1217" s="472">
        <f t="shared" si="484"/>
        <v>0</v>
      </c>
      <c r="U1217" s="178" t="s">
        <v>145</v>
      </c>
      <c r="V1217" s="37" t="s">
        <v>19</v>
      </c>
      <c r="W1217" s="37" t="s">
        <v>7</v>
      </c>
      <c r="X1217" s="37" t="s">
        <v>85</v>
      </c>
      <c r="Y1217" s="37" t="s">
        <v>985</v>
      </c>
      <c r="Z1217" s="37" t="s">
        <v>153</v>
      </c>
      <c r="AA1217" s="12" t="b">
        <f t="shared" si="470"/>
        <v>1</v>
      </c>
      <c r="AB1217" s="12" t="b">
        <f t="shared" si="471"/>
        <v>1</v>
      </c>
      <c r="AC1217" s="12" t="b">
        <f t="shared" si="472"/>
        <v>1</v>
      </c>
      <c r="AD1217" s="12" t="b">
        <f t="shared" si="473"/>
        <v>1</v>
      </c>
      <c r="AE1217" s="12" t="b">
        <f t="shared" si="474"/>
        <v>1</v>
      </c>
      <c r="AF1217" s="12" t="b">
        <f t="shared" si="475"/>
        <v>1</v>
      </c>
    </row>
    <row r="1218" spans="1:32" s="12" customFormat="1" ht="15.75" customHeight="1">
      <c r="A1218" s="285"/>
      <c r="B1218" s="32" t="s">
        <v>3</v>
      </c>
      <c r="C1218" s="33" t="s">
        <v>19</v>
      </c>
      <c r="D1218" s="34" t="s">
        <v>7</v>
      </c>
      <c r="E1218" s="34" t="s">
        <v>7</v>
      </c>
      <c r="F1218" s="34" t="s">
        <v>223</v>
      </c>
      <c r="G1218" s="34" t="s">
        <v>90</v>
      </c>
      <c r="H1218" s="35">
        <f t="shared" ref="H1218:J1219" si="487">H1219</f>
        <v>65232.61</v>
      </c>
      <c r="I1218" s="35">
        <f t="shared" si="487"/>
        <v>65275.76</v>
      </c>
      <c r="J1218" s="35">
        <f t="shared" si="487"/>
        <v>65320.639999999999</v>
      </c>
      <c r="K1218" s="35">
        <v>65232.61</v>
      </c>
      <c r="L1218" s="35">
        <v>65275.76</v>
      </c>
      <c r="M1218" s="35">
        <v>65320.639999999999</v>
      </c>
      <c r="N1218" s="35"/>
      <c r="O1218" s="35">
        <v>65232.61</v>
      </c>
      <c r="P1218" s="35">
        <v>65275.76</v>
      </c>
      <c r="Q1218" s="35">
        <v>65320.639999999999</v>
      </c>
      <c r="R1218" s="472">
        <f t="shared" si="482"/>
        <v>0</v>
      </c>
      <c r="S1218" s="472">
        <f t="shared" si="483"/>
        <v>0</v>
      </c>
      <c r="T1218" s="472">
        <f t="shared" si="484"/>
        <v>0</v>
      </c>
      <c r="U1218" s="32" t="s">
        <v>3</v>
      </c>
      <c r="V1218" s="33" t="s">
        <v>19</v>
      </c>
      <c r="W1218" s="34" t="s">
        <v>7</v>
      </c>
      <c r="X1218" s="34" t="s">
        <v>7</v>
      </c>
      <c r="Y1218" s="34" t="s">
        <v>223</v>
      </c>
      <c r="Z1218" s="34" t="s">
        <v>90</v>
      </c>
      <c r="AA1218" s="12" t="b">
        <f t="shared" si="470"/>
        <v>1</v>
      </c>
      <c r="AB1218" s="12" t="b">
        <f t="shared" si="471"/>
        <v>1</v>
      </c>
      <c r="AC1218" s="12" t="b">
        <f t="shared" si="472"/>
        <v>1</v>
      </c>
      <c r="AD1218" s="12" t="b">
        <f t="shared" si="473"/>
        <v>1</v>
      </c>
      <c r="AE1218" s="12" t="b">
        <f t="shared" si="474"/>
        <v>1</v>
      </c>
      <c r="AF1218" s="12" t="b">
        <f t="shared" si="475"/>
        <v>1</v>
      </c>
    </row>
    <row r="1219" spans="1:32" s="12" customFormat="1" ht="15.75" customHeight="1">
      <c r="A1219" s="285"/>
      <c r="B1219" s="182" t="s">
        <v>173</v>
      </c>
      <c r="C1219" s="37" t="s">
        <v>19</v>
      </c>
      <c r="D1219" s="37" t="s">
        <v>7</v>
      </c>
      <c r="E1219" s="37" t="s">
        <v>7</v>
      </c>
      <c r="F1219" s="37" t="s">
        <v>447</v>
      </c>
      <c r="G1219" s="37" t="s">
        <v>90</v>
      </c>
      <c r="H1219" s="72">
        <f t="shared" si="487"/>
        <v>65232.61</v>
      </c>
      <c r="I1219" s="72">
        <f t="shared" si="487"/>
        <v>65275.76</v>
      </c>
      <c r="J1219" s="72">
        <f t="shared" si="487"/>
        <v>65320.639999999999</v>
      </c>
      <c r="K1219" s="72">
        <v>65232.61</v>
      </c>
      <c r="L1219" s="72">
        <v>65275.76</v>
      </c>
      <c r="M1219" s="72">
        <v>65320.639999999999</v>
      </c>
      <c r="N1219" s="72"/>
      <c r="O1219" s="72">
        <v>65232.61</v>
      </c>
      <c r="P1219" s="72">
        <v>65275.76</v>
      </c>
      <c r="Q1219" s="72">
        <v>65320.639999999999</v>
      </c>
      <c r="R1219" s="472">
        <f t="shared" si="482"/>
        <v>0</v>
      </c>
      <c r="S1219" s="472">
        <f t="shared" si="483"/>
        <v>0</v>
      </c>
      <c r="T1219" s="472">
        <f t="shared" si="484"/>
        <v>0</v>
      </c>
      <c r="U1219" s="182" t="s">
        <v>173</v>
      </c>
      <c r="V1219" s="37" t="s">
        <v>19</v>
      </c>
      <c r="W1219" s="37" t="s">
        <v>7</v>
      </c>
      <c r="X1219" s="37" t="s">
        <v>7</v>
      </c>
      <c r="Y1219" s="37" t="s">
        <v>447</v>
      </c>
      <c r="Z1219" s="37" t="s">
        <v>90</v>
      </c>
      <c r="AA1219" s="12" t="b">
        <f t="shared" si="470"/>
        <v>1</v>
      </c>
      <c r="AB1219" s="12" t="b">
        <f t="shared" si="471"/>
        <v>1</v>
      </c>
      <c r="AC1219" s="12" t="b">
        <f t="shared" si="472"/>
        <v>1</v>
      </c>
      <c r="AD1219" s="12" t="b">
        <f t="shared" si="473"/>
        <v>1</v>
      </c>
      <c r="AE1219" s="12" t="b">
        <f t="shared" si="474"/>
        <v>1</v>
      </c>
      <c r="AF1219" s="12" t="b">
        <f t="shared" si="475"/>
        <v>1</v>
      </c>
    </row>
    <row r="1220" spans="1:32" s="12" customFormat="1" ht="15.75" customHeight="1">
      <c r="A1220" s="285"/>
      <c r="B1220" s="182" t="s">
        <v>174</v>
      </c>
      <c r="C1220" s="37" t="s">
        <v>19</v>
      </c>
      <c r="D1220" s="37" t="s">
        <v>7</v>
      </c>
      <c r="E1220" s="37" t="s">
        <v>7</v>
      </c>
      <c r="F1220" s="37" t="s">
        <v>448</v>
      </c>
      <c r="G1220" s="37" t="s">
        <v>90</v>
      </c>
      <c r="H1220" s="72">
        <f>H1221+H1225</f>
        <v>65232.61</v>
      </c>
      <c r="I1220" s="72">
        <f t="shared" ref="I1220:J1220" si="488">I1221+I1225</f>
        <v>65275.76</v>
      </c>
      <c r="J1220" s="72">
        <f t="shared" si="488"/>
        <v>65320.639999999999</v>
      </c>
      <c r="K1220" s="72">
        <v>65232.61</v>
      </c>
      <c r="L1220" s="72">
        <v>65275.76</v>
      </c>
      <c r="M1220" s="72">
        <v>65320.639999999999</v>
      </c>
      <c r="N1220" s="72"/>
      <c r="O1220" s="72">
        <v>65232.61</v>
      </c>
      <c r="P1220" s="72">
        <v>65275.76</v>
      </c>
      <c r="Q1220" s="72">
        <v>65320.639999999999</v>
      </c>
      <c r="R1220" s="472">
        <f t="shared" si="482"/>
        <v>0</v>
      </c>
      <c r="S1220" s="472">
        <f t="shared" si="483"/>
        <v>0</v>
      </c>
      <c r="T1220" s="472">
        <f t="shared" si="484"/>
        <v>0</v>
      </c>
      <c r="U1220" s="182" t="s">
        <v>174</v>
      </c>
      <c r="V1220" s="37" t="s">
        <v>19</v>
      </c>
      <c r="W1220" s="37" t="s">
        <v>7</v>
      </c>
      <c r="X1220" s="37" t="s">
        <v>7</v>
      </c>
      <c r="Y1220" s="37" t="s">
        <v>448</v>
      </c>
      <c r="Z1220" s="37" t="s">
        <v>90</v>
      </c>
      <c r="AA1220" s="12" t="b">
        <f t="shared" si="470"/>
        <v>1</v>
      </c>
      <c r="AB1220" s="12" t="b">
        <f t="shared" si="471"/>
        <v>1</v>
      </c>
      <c r="AC1220" s="12" t="b">
        <f t="shared" si="472"/>
        <v>1</v>
      </c>
      <c r="AD1220" s="12" t="b">
        <f t="shared" si="473"/>
        <v>1</v>
      </c>
      <c r="AE1220" s="12" t="b">
        <f t="shared" si="474"/>
        <v>1</v>
      </c>
      <c r="AF1220" s="12" t="b">
        <f t="shared" si="475"/>
        <v>1</v>
      </c>
    </row>
    <row r="1221" spans="1:32" s="12" customFormat="1" ht="15.75" customHeight="1">
      <c r="A1221" s="285"/>
      <c r="B1221" s="182" t="s">
        <v>151</v>
      </c>
      <c r="C1221" s="37" t="s">
        <v>19</v>
      </c>
      <c r="D1221" s="37" t="s">
        <v>7</v>
      </c>
      <c r="E1221" s="37" t="s">
        <v>7</v>
      </c>
      <c r="F1221" s="37" t="s">
        <v>460</v>
      </c>
      <c r="G1221" s="37" t="s">
        <v>90</v>
      </c>
      <c r="H1221" s="72">
        <f>H1222+H1223+H1224</f>
        <v>6691.6</v>
      </c>
      <c r="I1221" s="72">
        <f>I1222+I1223+I1224</f>
        <v>6734.75</v>
      </c>
      <c r="J1221" s="72">
        <f>J1222+J1223+J1224</f>
        <v>6779.6299999999992</v>
      </c>
      <c r="K1221" s="72">
        <v>6691.6</v>
      </c>
      <c r="L1221" s="72">
        <v>6734.75</v>
      </c>
      <c r="M1221" s="72">
        <v>6779.6299999999992</v>
      </c>
      <c r="N1221" s="72"/>
      <c r="O1221" s="72">
        <v>6691.6</v>
      </c>
      <c r="P1221" s="72">
        <v>6734.75</v>
      </c>
      <c r="Q1221" s="72">
        <v>6779.6299999999992</v>
      </c>
      <c r="R1221" s="472">
        <f t="shared" si="482"/>
        <v>0</v>
      </c>
      <c r="S1221" s="472">
        <f t="shared" si="483"/>
        <v>0</v>
      </c>
      <c r="T1221" s="472">
        <f t="shared" si="484"/>
        <v>0</v>
      </c>
      <c r="U1221" s="182" t="s">
        <v>151</v>
      </c>
      <c r="V1221" s="37" t="s">
        <v>19</v>
      </c>
      <c r="W1221" s="37" t="s">
        <v>7</v>
      </c>
      <c r="X1221" s="37" t="s">
        <v>7</v>
      </c>
      <c r="Y1221" s="37" t="s">
        <v>460</v>
      </c>
      <c r="Z1221" s="37" t="s">
        <v>90</v>
      </c>
      <c r="AA1221" s="12" t="b">
        <f t="shared" ref="AA1221:AA1293" si="489">B1221=U1221</f>
        <v>1</v>
      </c>
      <c r="AB1221" s="12" t="b">
        <f t="shared" ref="AB1221:AB1293" si="490">C1221=V1221</f>
        <v>1</v>
      </c>
      <c r="AC1221" s="12" t="b">
        <f t="shared" ref="AC1221:AC1293" si="491">D1221=W1221</f>
        <v>1</v>
      </c>
      <c r="AD1221" s="12" t="b">
        <f t="shared" ref="AD1221:AD1293" si="492">E1221=X1221</f>
        <v>1</v>
      </c>
      <c r="AE1221" s="12" t="b">
        <f t="shared" ref="AE1221:AE1293" si="493">F1221=Y1221</f>
        <v>1</v>
      </c>
      <c r="AF1221" s="12" t="b">
        <f t="shared" ref="AF1221:AF1293" si="494">G1221=Z1221</f>
        <v>1</v>
      </c>
    </row>
    <row r="1222" spans="1:32" s="12" customFormat="1" ht="15.75" customHeight="1">
      <c r="A1222" s="285"/>
      <c r="B1222" s="182" t="s">
        <v>144</v>
      </c>
      <c r="C1222" s="37" t="s">
        <v>19</v>
      </c>
      <c r="D1222" s="37" t="s">
        <v>7</v>
      </c>
      <c r="E1222" s="37" t="s">
        <v>7</v>
      </c>
      <c r="F1222" s="37" t="s">
        <v>460</v>
      </c>
      <c r="G1222" s="37" t="s">
        <v>152</v>
      </c>
      <c r="H1222" s="183">
        <f>870.15+262.78</f>
        <v>1132.9299999999998</v>
      </c>
      <c r="I1222" s="183">
        <f>1083.07+49.86</f>
        <v>1132.9299999999998</v>
      </c>
      <c r="J1222" s="183">
        <f>1083.07+49.86</f>
        <v>1132.9299999999998</v>
      </c>
      <c r="K1222" s="183">
        <v>1132.9299999999998</v>
      </c>
      <c r="L1222" s="183">
        <v>1132.9299999999998</v>
      </c>
      <c r="M1222" s="183">
        <v>1132.9299999999998</v>
      </c>
      <c r="N1222" s="183"/>
      <c r="O1222" s="183">
        <v>1132.9299999999998</v>
      </c>
      <c r="P1222" s="183">
        <v>1132.9299999999998</v>
      </c>
      <c r="Q1222" s="183">
        <v>1132.9299999999998</v>
      </c>
      <c r="R1222" s="472">
        <f t="shared" si="482"/>
        <v>0</v>
      </c>
      <c r="S1222" s="472">
        <f t="shared" si="483"/>
        <v>0</v>
      </c>
      <c r="T1222" s="472">
        <f t="shared" si="484"/>
        <v>0</v>
      </c>
      <c r="U1222" s="182" t="s">
        <v>144</v>
      </c>
      <c r="V1222" s="37" t="s">
        <v>19</v>
      </c>
      <c r="W1222" s="37" t="s">
        <v>7</v>
      </c>
      <c r="X1222" s="37" t="s">
        <v>7</v>
      </c>
      <c r="Y1222" s="37" t="s">
        <v>460</v>
      </c>
      <c r="Z1222" s="37" t="s">
        <v>152</v>
      </c>
      <c r="AA1222" s="12" t="b">
        <f t="shared" si="489"/>
        <v>1</v>
      </c>
      <c r="AB1222" s="12" t="b">
        <f t="shared" si="490"/>
        <v>1</v>
      </c>
      <c r="AC1222" s="12" t="b">
        <f t="shared" si="491"/>
        <v>1</v>
      </c>
      <c r="AD1222" s="12" t="b">
        <f t="shared" si="492"/>
        <v>1</v>
      </c>
      <c r="AE1222" s="12" t="b">
        <f t="shared" si="493"/>
        <v>1</v>
      </c>
      <c r="AF1222" s="12" t="b">
        <f t="shared" si="494"/>
        <v>1</v>
      </c>
    </row>
    <row r="1223" spans="1:32" s="12" customFormat="1" ht="15.75" customHeight="1">
      <c r="A1223" s="285"/>
      <c r="B1223" s="182" t="s">
        <v>145</v>
      </c>
      <c r="C1223" s="37" t="s">
        <v>19</v>
      </c>
      <c r="D1223" s="37" t="s">
        <v>7</v>
      </c>
      <c r="E1223" s="37" t="s">
        <v>7</v>
      </c>
      <c r="F1223" s="37" t="s">
        <v>460</v>
      </c>
      <c r="G1223" s="37" t="s">
        <v>153</v>
      </c>
      <c r="H1223" s="183">
        <f>4407.45+1042.22</f>
        <v>5449.67</v>
      </c>
      <c r="I1223" s="183">
        <f>4408.91+1083.91</f>
        <v>5492.82</v>
      </c>
      <c r="J1223" s="183">
        <f>4410.44+1127.26</f>
        <v>5537.7</v>
      </c>
      <c r="K1223" s="183">
        <v>5449.67</v>
      </c>
      <c r="L1223" s="183">
        <v>5492.82</v>
      </c>
      <c r="M1223" s="183">
        <v>5537.7</v>
      </c>
      <c r="N1223" s="183"/>
      <c r="O1223" s="183">
        <v>5449.67</v>
      </c>
      <c r="P1223" s="183">
        <v>5492.82</v>
      </c>
      <c r="Q1223" s="183">
        <v>5537.7</v>
      </c>
      <c r="R1223" s="472">
        <f t="shared" si="482"/>
        <v>0</v>
      </c>
      <c r="S1223" s="472">
        <f t="shared" si="483"/>
        <v>0</v>
      </c>
      <c r="T1223" s="472">
        <f t="shared" si="484"/>
        <v>0</v>
      </c>
      <c r="U1223" s="182" t="s">
        <v>145</v>
      </c>
      <c r="V1223" s="37" t="s">
        <v>19</v>
      </c>
      <c r="W1223" s="37" t="s">
        <v>7</v>
      </c>
      <c r="X1223" s="37" t="s">
        <v>7</v>
      </c>
      <c r="Y1223" s="37" t="s">
        <v>460</v>
      </c>
      <c r="Z1223" s="37" t="s">
        <v>153</v>
      </c>
      <c r="AA1223" s="12" t="b">
        <f t="shared" si="489"/>
        <v>1</v>
      </c>
      <c r="AB1223" s="12" t="b">
        <f t="shared" si="490"/>
        <v>1</v>
      </c>
      <c r="AC1223" s="12" t="b">
        <f t="shared" si="491"/>
        <v>1</v>
      </c>
      <c r="AD1223" s="12" t="b">
        <f t="shared" si="492"/>
        <v>1</v>
      </c>
      <c r="AE1223" s="12" t="b">
        <f t="shared" si="493"/>
        <v>1</v>
      </c>
      <c r="AF1223" s="12" t="b">
        <f t="shared" si="494"/>
        <v>1</v>
      </c>
    </row>
    <row r="1224" spans="1:32" s="12" customFormat="1" ht="15.75" customHeight="1">
      <c r="A1224" s="285"/>
      <c r="B1224" s="182" t="s">
        <v>137</v>
      </c>
      <c r="C1224" s="37" t="s">
        <v>19</v>
      </c>
      <c r="D1224" s="37" t="s">
        <v>7</v>
      </c>
      <c r="E1224" s="37" t="s">
        <v>7</v>
      </c>
      <c r="F1224" s="37" t="s">
        <v>460</v>
      </c>
      <c r="G1224" s="37" t="s">
        <v>155</v>
      </c>
      <c r="H1224" s="183">
        <v>109</v>
      </c>
      <c r="I1224" s="183">
        <v>109</v>
      </c>
      <c r="J1224" s="183">
        <v>109</v>
      </c>
      <c r="K1224" s="183">
        <v>109</v>
      </c>
      <c r="L1224" s="183">
        <v>109</v>
      </c>
      <c r="M1224" s="183">
        <v>109</v>
      </c>
      <c r="N1224" s="183"/>
      <c r="O1224" s="183">
        <v>109</v>
      </c>
      <c r="P1224" s="183">
        <v>109</v>
      </c>
      <c r="Q1224" s="183">
        <v>109</v>
      </c>
      <c r="R1224" s="472">
        <f t="shared" si="482"/>
        <v>0</v>
      </c>
      <c r="S1224" s="472">
        <f t="shared" si="483"/>
        <v>0</v>
      </c>
      <c r="T1224" s="472">
        <f t="shared" si="484"/>
        <v>0</v>
      </c>
      <c r="U1224" s="182" t="s">
        <v>137</v>
      </c>
      <c r="V1224" s="37" t="s">
        <v>19</v>
      </c>
      <c r="W1224" s="37" t="s">
        <v>7</v>
      </c>
      <c r="X1224" s="37" t="s">
        <v>7</v>
      </c>
      <c r="Y1224" s="37" t="s">
        <v>460</v>
      </c>
      <c r="Z1224" s="37" t="s">
        <v>155</v>
      </c>
      <c r="AA1224" s="12" t="b">
        <f t="shared" si="489"/>
        <v>1</v>
      </c>
      <c r="AB1224" s="12" t="b">
        <f t="shared" si="490"/>
        <v>1</v>
      </c>
      <c r="AC1224" s="12" t="b">
        <f t="shared" si="491"/>
        <v>1</v>
      </c>
      <c r="AD1224" s="12" t="b">
        <f t="shared" si="492"/>
        <v>1</v>
      </c>
      <c r="AE1224" s="12" t="b">
        <f t="shared" si="493"/>
        <v>1</v>
      </c>
      <c r="AF1224" s="12" t="b">
        <f t="shared" si="494"/>
        <v>1</v>
      </c>
    </row>
    <row r="1225" spans="1:32" s="12" customFormat="1" ht="15.75" customHeight="1">
      <c r="A1225" s="285"/>
      <c r="B1225" s="182" t="s">
        <v>161</v>
      </c>
      <c r="C1225" s="37" t="s">
        <v>19</v>
      </c>
      <c r="D1225" s="37" t="s">
        <v>7</v>
      </c>
      <c r="E1225" s="37" t="s">
        <v>7</v>
      </c>
      <c r="F1225" s="37" t="s">
        <v>461</v>
      </c>
      <c r="G1225" s="37" t="s">
        <v>90</v>
      </c>
      <c r="H1225" s="183">
        <f>H1226</f>
        <v>58541.01</v>
      </c>
      <c r="I1225" s="183">
        <f>I1226</f>
        <v>58541.01</v>
      </c>
      <c r="J1225" s="183">
        <f>J1226</f>
        <v>58541.01</v>
      </c>
      <c r="K1225" s="183">
        <v>58541.01</v>
      </c>
      <c r="L1225" s="183">
        <v>58541.01</v>
      </c>
      <c r="M1225" s="183">
        <v>58541.01</v>
      </c>
      <c r="N1225" s="183"/>
      <c r="O1225" s="183">
        <v>58541.01</v>
      </c>
      <c r="P1225" s="183">
        <v>58541.01</v>
      </c>
      <c r="Q1225" s="183">
        <v>58541.01</v>
      </c>
      <c r="R1225" s="472">
        <f t="shared" si="482"/>
        <v>0</v>
      </c>
      <c r="S1225" s="472">
        <f t="shared" si="483"/>
        <v>0</v>
      </c>
      <c r="T1225" s="472">
        <f t="shared" si="484"/>
        <v>0</v>
      </c>
      <c r="U1225" s="182" t="s">
        <v>161</v>
      </c>
      <c r="V1225" s="37" t="s">
        <v>19</v>
      </c>
      <c r="W1225" s="37" t="s">
        <v>7</v>
      </c>
      <c r="X1225" s="37" t="s">
        <v>7</v>
      </c>
      <c r="Y1225" s="37" t="s">
        <v>461</v>
      </c>
      <c r="Z1225" s="37" t="s">
        <v>90</v>
      </c>
      <c r="AA1225" s="12" t="b">
        <f t="shared" si="489"/>
        <v>1</v>
      </c>
      <c r="AB1225" s="12" t="b">
        <f t="shared" si="490"/>
        <v>1</v>
      </c>
      <c r="AC1225" s="12" t="b">
        <f t="shared" si="491"/>
        <v>1</v>
      </c>
      <c r="AD1225" s="12" t="b">
        <f t="shared" si="492"/>
        <v>1</v>
      </c>
      <c r="AE1225" s="12" t="b">
        <f t="shared" si="493"/>
        <v>1</v>
      </c>
      <c r="AF1225" s="12" t="b">
        <f t="shared" si="494"/>
        <v>1</v>
      </c>
    </row>
    <row r="1226" spans="1:32" s="12" customFormat="1" ht="15.75" customHeight="1">
      <c r="A1226" s="285"/>
      <c r="B1226" s="54" t="s">
        <v>144</v>
      </c>
      <c r="C1226" s="57" t="s">
        <v>19</v>
      </c>
      <c r="D1226" s="57" t="s">
        <v>7</v>
      </c>
      <c r="E1226" s="57" t="s">
        <v>7</v>
      </c>
      <c r="F1226" s="57" t="s">
        <v>461</v>
      </c>
      <c r="G1226" s="57" t="s">
        <v>152</v>
      </c>
      <c r="H1226" s="58">
        <f>44962.37+13578.64</f>
        <v>58541.01</v>
      </c>
      <c r="I1226" s="58">
        <f>44962.37+13578.64</f>
        <v>58541.01</v>
      </c>
      <c r="J1226" s="58">
        <f>58541.01</f>
        <v>58541.01</v>
      </c>
      <c r="K1226" s="58">
        <v>58541.01</v>
      </c>
      <c r="L1226" s="58">
        <v>58541.01</v>
      </c>
      <c r="M1226" s="58">
        <v>58541.01</v>
      </c>
      <c r="N1226" s="58"/>
      <c r="O1226" s="58">
        <v>58541.01</v>
      </c>
      <c r="P1226" s="58">
        <v>58541.01</v>
      </c>
      <c r="Q1226" s="58">
        <v>58541.01</v>
      </c>
      <c r="R1226" s="472">
        <f t="shared" si="482"/>
        <v>0</v>
      </c>
      <c r="S1226" s="472">
        <f t="shared" si="483"/>
        <v>0</v>
      </c>
      <c r="T1226" s="472">
        <f t="shared" si="484"/>
        <v>0</v>
      </c>
      <c r="U1226" s="54" t="s">
        <v>144</v>
      </c>
      <c r="V1226" s="57" t="s">
        <v>19</v>
      </c>
      <c r="W1226" s="57" t="s">
        <v>7</v>
      </c>
      <c r="X1226" s="57" t="s">
        <v>7</v>
      </c>
      <c r="Y1226" s="57" t="s">
        <v>461</v>
      </c>
      <c r="Z1226" s="57" t="s">
        <v>152</v>
      </c>
      <c r="AA1226" s="12" t="b">
        <f t="shared" si="489"/>
        <v>1</v>
      </c>
      <c r="AB1226" s="12" t="b">
        <f t="shared" si="490"/>
        <v>1</v>
      </c>
      <c r="AC1226" s="12" t="b">
        <f t="shared" si="491"/>
        <v>1</v>
      </c>
      <c r="AD1226" s="12" t="b">
        <f t="shared" si="492"/>
        <v>1</v>
      </c>
      <c r="AE1226" s="12" t="b">
        <f t="shared" si="493"/>
        <v>1</v>
      </c>
      <c r="AF1226" s="12" t="b">
        <f t="shared" si="494"/>
        <v>1</v>
      </c>
    </row>
    <row r="1227" spans="1:32" s="12" customFormat="1" ht="15.75" customHeight="1">
      <c r="A1227" s="285"/>
      <c r="B1227" s="28" t="s">
        <v>123</v>
      </c>
      <c r="C1227" s="29" t="s">
        <v>19</v>
      </c>
      <c r="D1227" s="30" t="s">
        <v>82</v>
      </c>
      <c r="E1227" s="30" t="s">
        <v>83</v>
      </c>
      <c r="F1227" s="30" t="s">
        <v>223</v>
      </c>
      <c r="G1227" s="30" t="s">
        <v>90</v>
      </c>
      <c r="H1227" s="31">
        <f t="shared" ref="H1227:J1229" si="495">H1228</f>
        <v>1162.5</v>
      </c>
      <c r="I1227" s="31">
        <f t="shared" si="495"/>
        <v>1162.5</v>
      </c>
      <c r="J1227" s="31">
        <f t="shared" si="495"/>
        <v>1162.5</v>
      </c>
      <c r="K1227" s="31">
        <v>1162.5</v>
      </c>
      <c r="L1227" s="31">
        <v>1162.5</v>
      </c>
      <c r="M1227" s="31">
        <v>1162.5</v>
      </c>
      <c r="N1227" s="31"/>
      <c r="O1227" s="31">
        <v>1162.5</v>
      </c>
      <c r="P1227" s="31">
        <v>1162.5</v>
      </c>
      <c r="Q1227" s="31">
        <v>1162.5</v>
      </c>
      <c r="R1227" s="472">
        <f t="shared" si="482"/>
        <v>0</v>
      </c>
      <c r="S1227" s="472">
        <f t="shared" si="483"/>
        <v>0</v>
      </c>
      <c r="T1227" s="472">
        <f t="shared" si="484"/>
        <v>0</v>
      </c>
      <c r="U1227" s="28" t="s">
        <v>123</v>
      </c>
      <c r="V1227" s="29" t="s">
        <v>19</v>
      </c>
      <c r="W1227" s="30" t="s">
        <v>82</v>
      </c>
      <c r="X1227" s="30" t="s">
        <v>83</v>
      </c>
      <c r="Y1227" s="30" t="s">
        <v>223</v>
      </c>
      <c r="Z1227" s="30" t="s">
        <v>90</v>
      </c>
      <c r="AA1227" s="12" t="b">
        <f t="shared" si="489"/>
        <v>1</v>
      </c>
      <c r="AB1227" s="12" t="b">
        <f t="shared" si="490"/>
        <v>1</v>
      </c>
      <c r="AC1227" s="12" t="b">
        <f t="shared" si="491"/>
        <v>1</v>
      </c>
      <c r="AD1227" s="12" t="b">
        <f t="shared" si="492"/>
        <v>1</v>
      </c>
      <c r="AE1227" s="12" t="b">
        <f t="shared" si="493"/>
        <v>1</v>
      </c>
      <c r="AF1227" s="12" t="b">
        <f t="shared" si="494"/>
        <v>1</v>
      </c>
    </row>
    <row r="1228" spans="1:32" s="12" customFormat="1" ht="15.75" customHeight="1">
      <c r="A1228" s="285"/>
      <c r="B1228" s="32" t="s">
        <v>35</v>
      </c>
      <c r="C1228" s="33" t="s">
        <v>19</v>
      </c>
      <c r="D1228" s="34" t="s">
        <v>82</v>
      </c>
      <c r="E1228" s="34" t="s">
        <v>98</v>
      </c>
      <c r="F1228" s="34" t="s">
        <v>223</v>
      </c>
      <c r="G1228" s="34" t="s">
        <v>90</v>
      </c>
      <c r="H1228" s="35">
        <f t="shared" si="495"/>
        <v>1162.5</v>
      </c>
      <c r="I1228" s="35">
        <f t="shared" si="495"/>
        <v>1162.5</v>
      </c>
      <c r="J1228" s="35">
        <f t="shared" si="495"/>
        <v>1162.5</v>
      </c>
      <c r="K1228" s="35">
        <v>1162.5</v>
      </c>
      <c r="L1228" s="35">
        <v>1162.5</v>
      </c>
      <c r="M1228" s="35">
        <v>1162.5</v>
      </c>
      <c r="N1228" s="35"/>
      <c r="O1228" s="35">
        <v>1162.5</v>
      </c>
      <c r="P1228" s="35">
        <v>1162.5</v>
      </c>
      <c r="Q1228" s="35">
        <v>1162.5</v>
      </c>
      <c r="R1228" s="472">
        <f t="shared" si="482"/>
        <v>0</v>
      </c>
      <c r="S1228" s="472">
        <f t="shared" si="483"/>
        <v>0</v>
      </c>
      <c r="T1228" s="472">
        <f t="shared" si="484"/>
        <v>0</v>
      </c>
      <c r="U1228" s="32" t="s">
        <v>35</v>
      </c>
      <c r="V1228" s="33" t="s">
        <v>19</v>
      </c>
      <c r="W1228" s="34" t="s">
        <v>82</v>
      </c>
      <c r="X1228" s="34" t="s">
        <v>98</v>
      </c>
      <c r="Y1228" s="34" t="s">
        <v>223</v>
      </c>
      <c r="Z1228" s="34" t="s">
        <v>90</v>
      </c>
      <c r="AA1228" s="12" t="b">
        <f t="shared" si="489"/>
        <v>1</v>
      </c>
      <c r="AB1228" s="12" t="b">
        <f t="shared" si="490"/>
        <v>1</v>
      </c>
      <c r="AC1228" s="12" t="b">
        <f t="shared" si="491"/>
        <v>1</v>
      </c>
      <c r="AD1228" s="12" t="b">
        <f t="shared" si="492"/>
        <v>1</v>
      </c>
      <c r="AE1228" s="12" t="b">
        <f t="shared" si="493"/>
        <v>1</v>
      </c>
      <c r="AF1228" s="12" t="b">
        <f t="shared" si="494"/>
        <v>1</v>
      </c>
    </row>
    <row r="1229" spans="1:32" s="12" customFormat="1" ht="15.75" customHeight="1">
      <c r="A1229" s="285"/>
      <c r="B1229" s="182" t="s">
        <v>656</v>
      </c>
      <c r="C1229" s="36" t="s">
        <v>19</v>
      </c>
      <c r="D1229" s="37" t="s">
        <v>82</v>
      </c>
      <c r="E1229" s="37" t="s">
        <v>98</v>
      </c>
      <c r="F1229" s="57" t="s">
        <v>279</v>
      </c>
      <c r="G1229" s="37" t="s">
        <v>90</v>
      </c>
      <c r="H1229" s="183">
        <f t="shared" si="495"/>
        <v>1162.5</v>
      </c>
      <c r="I1229" s="183">
        <f t="shared" si="495"/>
        <v>1162.5</v>
      </c>
      <c r="J1229" s="183">
        <f t="shared" si="495"/>
        <v>1162.5</v>
      </c>
      <c r="K1229" s="183">
        <v>1162.5</v>
      </c>
      <c r="L1229" s="183">
        <v>1162.5</v>
      </c>
      <c r="M1229" s="183">
        <v>1162.5</v>
      </c>
      <c r="N1229" s="183"/>
      <c r="O1229" s="183">
        <v>1162.5</v>
      </c>
      <c r="P1229" s="183">
        <v>1162.5</v>
      </c>
      <c r="Q1229" s="183">
        <v>1162.5</v>
      </c>
      <c r="R1229" s="472">
        <f t="shared" si="482"/>
        <v>0</v>
      </c>
      <c r="S1229" s="472">
        <f t="shared" si="483"/>
        <v>0</v>
      </c>
      <c r="T1229" s="472">
        <f t="shared" si="484"/>
        <v>0</v>
      </c>
      <c r="U1229" s="182" t="s">
        <v>656</v>
      </c>
      <c r="V1229" s="36" t="s">
        <v>19</v>
      </c>
      <c r="W1229" s="37" t="s">
        <v>82</v>
      </c>
      <c r="X1229" s="37" t="s">
        <v>98</v>
      </c>
      <c r="Y1229" s="57" t="s">
        <v>279</v>
      </c>
      <c r="Z1229" s="37" t="s">
        <v>90</v>
      </c>
      <c r="AA1229" s="12" t="b">
        <f t="shared" si="489"/>
        <v>1</v>
      </c>
      <c r="AB1229" s="12" t="b">
        <f t="shared" si="490"/>
        <v>1</v>
      </c>
      <c r="AC1229" s="12" t="b">
        <f t="shared" si="491"/>
        <v>1</v>
      </c>
      <c r="AD1229" s="12" t="b">
        <f t="shared" si="492"/>
        <v>1</v>
      </c>
      <c r="AE1229" s="12" t="b">
        <f t="shared" si="493"/>
        <v>1</v>
      </c>
      <c r="AF1229" s="12" t="b">
        <f t="shared" si="494"/>
        <v>1</v>
      </c>
    </row>
    <row r="1230" spans="1:32" s="12" customFormat="1" ht="15.75" customHeight="1">
      <c r="A1230" s="285"/>
      <c r="B1230" s="182" t="s">
        <v>219</v>
      </c>
      <c r="C1230" s="36" t="s">
        <v>19</v>
      </c>
      <c r="D1230" s="37" t="s">
        <v>82</v>
      </c>
      <c r="E1230" s="37" t="s">
        <v>98</v>
      </c>
      <c r="F1230" s="57" t="s">
        <v>280</v>
      </c>
      <c r="G1230" s="37" t="s">
        <v>90</v>
      </c>
      <c r="H1230" s="183">
        <f t="shared" ref="H1230:J1232" si="496">H1231</f>
        <v>1162.5</v>
      </c>
      <c r="I1230" s="183">
        <f t="shared" si="496"/>
        <v>1162.5</v>
      </c>
      <c r="J1230" s="183">
        <f t="shared" si="496"/>
        <v>1162.5</v>
      </c>
      <c r="K1230" s="183">
        <v>1162.5</v>
      </c>
      <c r="L1230" s="183">
        <v>1162.5</v>
      </c>
      <c r="M1230" s="183">
        <v>1162.5</v>
      </c>
      <c r="N1230" s="183"/>
      <c r="O1230" s="183">
        <v>1162.5</v>
      </c>
      <c r="P1230" s="183">
        <v>1162.5</v>
      </c>
      <c r="Q1230" s="183">
        <v>1162.5</v>
      </c>
      <c r="R1230" s="472">
        <f t="shared" si="482"/>
        <v>0</v>
      </c>
      <c r="S1230" s="472">
        <f t="shared" si="483"/>
        <v>0</v>
      </c>
      <c r="T1230" s="472">
        <f t="shared" si="484"/>
        <v>0</v>
      </c>
      <c r="U1230" s="182" t="s">
        <v>219</v>
      </c>
      <c r="V1230" s="36" t="s">
        <v>19</v>
      </c>
      <c r="W1230" s="37" t="s">
        <v>82</v>
      </c>
      <c r="X1230" s="37" t="s">
        <v>98</v>
      </c>
      <c r="Y1230" s="57" t="s">
        <v>280</v>
      </c>
      <c r="Z1230" s="37" t="s">
        <v>90</v>
      </c>
      <c r="AA1230" s="12" t="b">
        <f t="shared" si="489"/>
        <v>1</v>
      </c>
      <c r="AB1230" s="12" t="b">
        <f t="shared" si="490"/>
        <v>1</v>
      </c>
      <c r="AC1230" s="12" t="b">
        <f t="shared" si="491"/>
        <v>1</v>
      </c>
      <c r="AD1230" s="12" t="b">
        <f t="shared" si="492"/>
        <v>1</v>
      </c>
      <c r="AE1230" s="12" t="b">
        <f t="shared" si="493"/>
        <v>1</v>
      </c>
      <c r="AF1230" s="12" t="b">
        <f t="shared" si="494"/>
        <v>1</v>
      </c>
    </row>
    <row r="1231" spans="1:32" s="12" customFormat="1" ht="15.75" customHeight="1">
      <c r="A1231" s="285"/>
      <c r="B1231" s="182" t="s">
        <v>523</v>
      </c>
      <c r="C1231" s="36" t="s">
        <v>19</v>
      </c>
      <c r="D1231" s="37" t="s">
        <v>82</v>
      </c>
      <c r="E1231" s="37" t="s">
        <v>98</v>
      </c>
      <c r="F1231" s="57" t="s">
        <v>281</v>
      </c>
      <c r="G1231" s="37" t="s">
        <v>90</v>
      </c>
      <c r="H1231" s="183">
        <f t="shared" si="496"/>
        <v>1162.5</v>
      </c>
      <c r="I1231" s="183">
        <f t="shared" si="496"/>
        <v>1162.5</v>
      </c>
      <c r="J1231" s="183">
        <f t="shared" si="496"/>
        <v>1162.5</v>
      </c>
      <c r="K1231" s="183">
        <v>1162.5</v>
      </c>
      <c r="L1231" s="183">
        <v>1162.5</v>
      </c>
      <c r="M1231" s="183">
        <v>1162.5</v>
      </c>
      <c r="N1231" s="183"/>
      <c r="O1231" s="183">
        <v>1162.5</v>
      </c>
      <c r="P1231" s="183">
        <v>1162.5</v>
      </c>
      <c r="Q1231" s="183">
        <v>1162.5</v>
      </c>
      <c r="R1231" s="472">
        <f t="shared" si="482"/>
        <v>0</v>
      </c>
      <c r="S1231" s="472">
        <f t="shared" si="483"/>
        <v>0</v>
      </c>
      <c r="T1231" s="472">
        <f t="shared" si="484"/>
        <v>0</v>
      </c>
      <c r="U1231" s="182" t="s">
        <v>523</v>
      </c>
      <c r="V1231" s="36" t="s">
        <v>19</v>
      </c>
      <c r="W1231" s="37" t="s">
        <v>82</v>
      </c>
      <c r="X1231" s="37" t="s">
        <v>98</v>
      </c>
      <c r="Y1231" s="57" t="s">
        <v>281</v>
      </c>
      <c r="Z1231" s="37" t="s">
        <v>90</v>
      </c>
      <c r="AA1231" s="12" t="b">
        <f t="shared" si="489"/>
        <v>1</v>
      </c>
      <c r="AB1231" s="12" t="b">
        <f t="shared" si="490"/>
        <v>1</v>
      </c>
      <c r="AC1231" s="12" t="b">
        <f t="shared" si="491"/>
        <v>1</v>
      </c>
      <c r="AD1231" s="12" t="b">
        <f t="shared" si="492"/>
        <v>1</v>
      </c>
      <c r="AE1231" s="12" t="b">
        <f t="shared" si="493"/>
        <v>1</v>
      </c>
      <c r="AF1231" s="12" t="b">
        <f t="shared" si="494"/>
        <v>1</v>
      </c>
    </row>
    <row r="1232" spans="1:32" s="12" customFormat="1" ht="15.75" customHeight="1">
      <c r="A1232" s="285"/>
      <c r="B1232" s="182" t="s">
        <v>189</v>
      </c>
      <c r="C1232" s="36" t="s">
        <v>19</v>
      </c>
      <c r="D1232" s="37" t="s">
        <v>82</v>
      </c>
      <c r="E1232" s="37" t="s">
        <v>98</v>
      </c>
      <c r="F1232" s="57" t="s">
        <v>307</v>
      </c>
      <c r="G1232" s="37" t="s">
        <v>90</v>
      </c>
      <c r="H1232" s="183">
        <f t="shared" si="496"/>
        <v>1162.5</v>
      </c>
      <c r="I1232" s="183">
        <f t="shared" si="496"/>
        <v>1162.5</v>
      </c>
      <c r="J1232" s="183">
        <f t="shared" si="496"/>
        <v>1162.5</v>
      </c>
      <c r="K1232" s="183">
        <v>1162.5</v>
      </c>
      <c r="L1232" s="183">
        <v>1162.5</v>
      </c>
      <c r="M1232" s="183">
        <v>1162.5</v>
      </c>
      <c r="N1232" s="183"/>
      <c r="O1232" s="183">
        <v>1162.5</v>
      </c>
      <c r="P1232" s="183">
        <v>1162.5</v>
      </c>
      <c r="Q1232" s="183">
        <v>1162.5</v>
      </c>
      <c r="R1232" s="472">
        <f t="shared" si="482"/>
        <v>0</v>
      </c>
      <c r="S1232" s="472">
        <f t="shared" si="483"/>
        <v>0</v>
      </c>
      <c r="T1232" s="472">
        <f t="shared" si="484"/>
        <v>0</v>
      </c>
      <c r="U1232" s="182" t="s">
        <v>189</v>
      </c>
      <c r="V1232" s="36" t="s">
        <v>19</v>
      </c>
      <c r="W1232" s="37" t="s">
        <v>82</v>
      </c>
      <c r="X1232" s="37" t="s">
        <v>98</v>
      </c>
      <c r="Y1232" s="57" t="s">
        <v>307</v>
      </c>
      <c r="Z1232" s="37" t="s">
        <v>90</v>
      </c>
      <c r="AA1232" s="12" t="b">
        <f t="shared" si="489"/>
        <v>1</v>
      </c>
      <c r="AB1232" s="12" t="b">
        <f t="shared" si="490"/>
        <v>1</v>
      </c>
      <c r="AC1232" s="12" t="b">
        <f t="shared" si="491"/>
        <v>1</v>
      </c>
      <c r="AD1232" s="12" t="b">
        <f t="shared" si="492"/>
        <v>1</v>
      </c>
      <c r="AE1232" s="12" t="b">
        <f t="shared" si="493"/>
        <v>1</v>
      </c>
      <c r="AF1232" s="12" t="b">
        <f t="shared" si="494"/>
        <v>1</v>
      </c>
    </row>
    <row r="1233" spans="1:32" s="12" customFormat="1" ht="15.75" customHeight="1">
      <c r="A1233" s="285"/>
      <c r="B1233" s="182" t="s">
        <v>145</v>
      </c>
      <c r="C1233" s="36" t="s">
        <v>19</v>
      </c>
      <c r="D1233" s="37" t="s">
        <v>82</v>
      </c>
      <c r="E1233" s="37" t="s">
        <v>98</v>
      </c>
      <c r="F1233" s="37" t="s">
        <v>307</v>
      </c>
      <c r="G1233" s="37" t="s">
        <v>153</v>
      </c>
      <c r="H1233" s="183">
        <v>1162.5</v>
      </c>
      <c r="I1233" s="183">
        <v>1162.5</v>
      </c>
      <c r="J1233" s="183">
        <v>1162.5</v>
      </c>
      <c r="K1233" s="183">
        <v>1162.5</v>
      </c>
      <c r="L1233" s="183">
        <v>1162.5</v>
      </c>
      <c r="M1233" s="183">
        <v>1162.5</v>
      </c>
      <c r="N1233" s="183"/>
      <c r="O1233" s="183">
        <v>1162.5</v>
      </c>
      <c r="P1233" s="183">
        <v>1162.5</v>
      </c>
      <c r="Q1233" s="183">
        <v>1162.5</v>
      </c>
      <c r="R1233" s="472">
        <f t="shared" si="482"/>
        <v>0</v>
      </c>
      <c r="S1233" s="472">
        <f t="shared" si="483"/>
        <v>0</v>
      </c>
      <c r="T1233" s="472">
        <f t="shared" si="484"/>
        <v>0</v>
      </c>
      <c r="U1233" s="182" t="s">
        <v>145</v>
      </c>
      <c r="V1233" s="36" t="s">
        <v>19</v>
      </c>
      <c r="W1233" s="37" t="s">
        <v>82</v>
      </c>
      <c r="X1233" s="37" t="s">
        <v>98</v>
      </c>
      <c r="Y1233" s="37" t="s">
        <v>307</v>
      </c>
      <c r="Z1233" s="37" t="s">
        <v>153</v>
      </c>
      <c r="AA1233" s="12" t="b">
        <f t="shared" si="489"/>
        <v>1</v>
      </c>
      <c r="AB1233" s="12" t="b">
        <f t="shared" si="490"/>
        <v>1</v>
      </c>
      <c r="AC1233" s="12" t="b">
        <f t="shared" si="491"/>
        <v>1</v>
      </c>
      <c r="AD1233" s="12" t="b">
        <f t="shared" si="492"/>
        <v>1</v>
      </c>
      <c r="AE1233" s="12" t="b">
        <f t="shared" si="493"/>
        <v>1</v>
      </c>
      <c r="AF1233" s="12" t="b">
        <f t="shared" si="494"/>
        <v>1</v>
      </c>
    </row>
    <row r="1234" spans="1:32" s="12" customFormat="1" ht="15.75" customHeight="1">
      <c r="A1234" s="285"/>
      <c r="B1234" s="28" t="s">
        <v>81</v>
      </c>
      <c r="C1234" s="29" t="s">
        <v>19</v>
      </c>
      <c r="D1234" s="30" t="s">
        <v>13</v>
      </c>
      <c r="E1234" s="30" t="s">
        <v>83</v>
      </c>
      <c r="F1234" s="30" t="s">
        <v>223</v>
      </c>
      <c r="G1234" s="30" t="s">
        <v>90</v>
      </c>
      <c r="H1234" s="31">
        <f t="shared" ref="H1234:J1237" si="497">H1235</f>
        <v>3595.03</v>
      </c>
      <c r="I1234" s="31">
        <f t="shared" si="497"/>
        <v>3595.03</v>
      </c>
      <c r="J1234" s="31">
        <f t="shared" si="497"/>
        <v>3595.03</v>
      </c>
      <c r="K1234" s="31">
        <v>3595.03</v>
      </c>
      <c r="L1234" s="31">
        <v>3595.03</v>
      </c>
      <c r="M1234" s="31">
        <v>3595.03</v>
      </c>
      <c r="N1234" s="31"/>
      <c r="O1234" s="31">
        <v>3595.03</v>
      </c>
      <c r="P1234" s="31">
        <v>3595.03</v>
      </c>
      <c r="Q1234" s="31">
        <v>3595.03</v>
      </c>
      <c r="R1234" s="472">
        <f t="shared" si="482"/>
        <v>0</v>
      </c>
      <c r="S1234" s="472">
        <f t="shared" si="483"/>
        <v>0</v>
      </c>
      <c r="T1234" s="472">
        <f t="shared" si="484"/>
        <v>0</v>
      </c>
      <c r="U1234" s="28" t="s">
        <v>81</v>
      </c>
      <c r="V1234" s="29" t="s">
        <v>19</v>
      </c>
      <c r="W1234" s="30" t="s">
        <v>13</v>
      </c>
      <c r="X1234" s="30" t="s">
        <v>83</v>
      </c>
      <c r="Y1234" s="30" t="s">
        <v>223</v>
      </c>
      <c r="Z1234" s="30" t="s">
        <v>90</v>
      </c>
      <c r="AA1234" s="12" t="b">
        <f t="shared" si="489"/>
        <v>1</v>
      </c>
      <c r="AB1234" s="12" t="b">
        <f t="shared" si="490"/>
        <v>1</v>
      </c>
      <c r="AC1234" s="12" t="b">
        <f t="shared" si="491"/>
        <v>1</v>
      </c>
      <c r="AD1234" s="12" t="b">
        <f t="shared" si="492"/>
        <v>1</v>
      </c>
      <c r="AE1234" s="12" t="b">
        <f t="shared" si="493"/>
        <v>1</v>
      </c>
      <c r="AF1234" s="12" t="b">
        <f t="shared" si="494"/>
        <v>1</v>
      </c>
    </row>
    <row r="1235" spans="1:32" s="12" customFormat="1" ht="15.75" customHeight="1">
      <c r="A1235" s="285"/>
      <c r="B1235" s="32" t="s">
        <v>96</v>
      </c>
      <c r="C1235" s="33" t="s">
        <v>19</v>
      </c>
      <c r="D1235" s="34">
        <v>10</v>
      </c>
      <c r="E1235" s="34" t="s">
        <v>85</v>
      </c>
      <c r="F1235" s="34" t="s">
        <v>223</v>
      </c>
      <c r="G1235" s="34" t="s">
        <v>90</v>
      </c>
      <c r="H1235" s="35">
        <f t="shared" si="497"/>
        <v>3595.03</v>
      </c>
      <c r="I1235" s="35">
        <f t="shared" si="497"/>
        <v>3595.03</v>
      </c>
      <c r="J1235" s="35">
        <f t="shared" si="497"/>
        <v>3595.03</v>
      </c>
      <c r="K1235" s="35">
        <v>3595.03</v>
      </c>
      <c r="L1235" s="35">
        <v>3595.03</v>
      </c>
      <c r="M1235" s="35">
        <v>3595.03</v>
      </c>
      <c r="N1235" s="35"/>
      <c r="O1235" s="35">
        <v>3595.03</v>
      </c>
      <c r="P1235" s="35">
        <v>3595.03</v>
      </c>
      <c r="Q1235" s="35">
        <v>3595.03</v>
      </c>
      <c r="R1235" s="472">
        <f t="shared" si="482"/>
        <v>0</v>
      </c>
      <c r="S1235" s="472">
        <f t="shared" si="483"/>
        <v>0</v>
      </c>
      <c r="T1235" s="472">
        <f t="shared" si="484"/>
        <v>0</v>
      </c>
      <c r="U1235" s="32" t="s">
        <v>96</v>
      </c>
      <c r="V1235" s="33" t="s">
        <v>19</v>
      </c>
      <c r="W1235" s="34">
        <v>10</v>
      </c>
      <c r="X1235" s="34" t="s">
        <v>85</v>
      </c>
      <c r="Y1235" s="34" t="s">
        <v>223</v>
      </c>
      <c r="Z1235" s="34" t="s">
        <v>90</v>
      </c>
      <c r="AA1235" s="12" t="b">
        <f t="shared" si="489"/>
        <v>1</v>
      </c>
      <c r="AB1235" s="12" t="b">
        <f t="shared" si="490"/>
        <v>1</v>
      </c>
      <c r="AC1235" s="12" t="b">
        <f t="shared" si="491"/>
        <v>1</v>
      </c>
      <c r="AD1235" s="12" t="b">
        <f t="shared" si="492"/>
        <v>1</v>
      </c>
      <c r="AE1235" s="12" t="b">
        <f t="shared" si="493"/>
        <v>1</v>
      </c>
      <c r="AF1235" s="12" t="b">
        <f t="shared" si="494"/>
        <v>1</v>
      </c>
    </row>
    <row r="1236" spans="1:32" s="12" customFormat="1" ht="15.75" customHeight="1">
      <c r="A1236" s="285"/>
      <c r="B1236" s="47" t="s">
        <v>650</v>
      </c>
      <c r="C1236" s="57" t="s">
        <v>19</v>
      </c>
      <c r="D1236" s="57">
        <v>10</v>
      </c>
      <c r="E1236" s="57" t="s">
        <v>85</v>
      </c>
      <c r="F1236" s="57" t="s">
        <v>313</v>
      </c>
      <c r="G1236" s="57" t="s">
        <v>90</v>
      </c>
      <c r="H1236" s="58">
        <f t="shared" si="497"/>
        <v>3595.03</v>
      </c>
      <c r="I1236" s="58">
        <f t="shared" si="497"/>
        <v>3595.03</v>
      </c>
      <c r="J1236" s="58">
        <f t="shared" si="497"/>
        <v>3595.03</v>
      </c>
      <c r="K1236" s="58">
        <v>3595.03</v>
      </c>
      <c r="L1236" s="58">
        <v>3595.03</v>
      </c>
      <c r="M1236" s="58">
        <v>3595.03</v>
      </c>
      <c r="N1236" s="58"/>
      <c r="O1236" s="58">
        <v>3595.03</v>
      </c>
      <c r="P1236" s="58">
        <v>3595.03</v>
      </c>
      <c r="Q1236" s="58">
        <v>3595.03</v>
      </c>
      <c r="R1236" s="472">
        <f t="shared" si="482"/>
        <v>0</v>
      </c>
      <c r="S1236" s="472">
        <f t="shared" si="483"/>
        <v>0</v>
      </c>
      <c r="T1236" s="472">
        <f t="shared" si="484"/>
        <v>0</v>
      </c>
      <c r="U1236" s="47" t="s">
        <v>650</v>
      </c>
      <c r="V1236" s="57" t="s">
        <v>19</v>
      </c>
      <c r="W1236" s="57">
        <v>10</v>
      </c>
      <c r="X1236" s="57" t="s">
        <v>85</v>
      </c>
      <c r="Y1236" s="57" t="s">
        <v>313</v>
      </c>
      <c r="Z1236" s="57" t="s">
        <v>90</v>
      </c>
      <c r="AA1236" s="12" t="b">
        <f t="shared" si="489"/>
        <v>1</v>
      </c>
      <c r="AB1236" s="12" t="b">
        <f t="shared" si="490"/>
        <v>1</v>
      </c>
      <c r="AC1236" s="12" t="b">
        <f t="shared" si="491"/>
        <v>1</v>
      </c>
      <c r="AD1236" s="12" t="b">
        <f t="shared" si="492"/>
        <v>1</v>
      </c>
      <c r="AE1236" s="12" t="b">
        <f t="shared" si="493"/>
        <v>1</v>
      </c>
      <c r="AF1236" s="12" t="b">
        <f t="shared" si="494"/>
        <v>1</v>
      </c>
    </row>
    <row r="1237" spans="1:32" s="12" customFormat="1" ht="15.75" customHeight="1">
      <c r="A1237" s="285"/>
      <c r="B1237" s="47" t="s">
        <v>729</v>
      </c>
      <c r="C1237" s="57" t="s">
        <v>19</v>
      </c>
      <c r="D1237" s="57">
        <v>10</v>
      </c>
      <c r="E1237" s="57" t="s">
        <v>85</v>
      </c>
      <c r="F1237" s="57" t="s">
        <v>314</v>
      </c>
      <c r="G1237" s="57" t="s">
        <v>90</v>
      </c>
      <c r="H1237" s="58">
        <f>H1238</f>
        <v>3595.03</v>
      </c>
      <c r="I1237" s="58">
        <f t="shared" si="497"/>
        <v>3595.03</v>
      </c>
      <c r="J1237" s="58">
        <f t="shared" si="497"/>
        <v>3595.03</v>
      </c>
      <c r="K1237" s="58">
        <v>3595.03</v>
      </c>
      <c r="L1237" s="58">
        <v>3595.03</v>
      </c>
      <c r="M1237" s="58">
        <v>3595.03</v>
      </c>
      <c r="N1237" s="58"/>
      <c r="O1237" s="58">
        <v>3595.03</v>
      </c>
      <c r="P1237" s="58">
        <v>3595.03</v>
      </c>
      <c r="Q1237" s="58">
        <v>3595.03</v>
      </c>
      <c r="R1237" s="472">
        <f t="shared" si="482"/>
        <v>0</v>
      </c>
      <c r="S1237" s="472">
        <f t="shared" si="483"/>
        <v>0</v>
      </c>
      <c r="T1237" s="472">
        <f t="shared" si="484"/>
        <v>0</v>
      </c>
      <c r="U1237" s="47" t="s">
        <v>729</v>
      </c>
      <c r="V1237" s="57" t="s">
        <v>19</v>
      </c>
      <c r="W1237" s="57">
        <v>10</v>
      </c>
      <c r="X1237" s="57" t="s">
        <v>85</v>
      </c>
      <c r="Y1237" s="57" t="s">
        <v>314</v>
      </c>
      <c r="Z1237" s="57" t="s">
        <v>90</v>
      </c>
      <c r="AA1237" s="12" t="b">
        <f t="shared" si="489"/>
        <v>1</v>
      </c>
      <c r="AB1237" s="12" t="b">
        <f t="shared" si="490"/>
        <v>1</v>
      </c>
      <c r="AC1237" s="12" t="b">
        <f t="shared" si="491"/>
        <v>1</v>
      </c>
      <c r="AD1237" s="12" t="b">
        <f t="shared" si="492"/>
        <v>1</v>
      </c>
      <c r="AE1237" s="12" t="b">
        <f t="shared" si="493"/>
        <v>1</v>
      </c>
      <c r="AF1237" s="12" t="b">
        <f t="shared" si="494"/>
        <v>1</v>
      </c>
    </row>
    <row r="1238" spans="1:32" s="12" customFormat="1" ht="15.75" customHeight="1">
      <c r="A1238" s="285"/>
      <c r="B1238" s="54" t="s">
        <v>548</v>
      </c>
      <c r="C1238" s="57" t="s">
        <v>19</v>
      </c>
      <c r="D1238" s="57">
        <v>10</v>
      </c>
      <c r="E1238" s="57" t="s">
        <v>85</v>
      </c>
      <c r="F1238" s="57" t="s">
        <v>545</v>
      </c>
      <c r="G1238" s="57" t="s">
        <v>90</v>
      </c>
      <c r="H1238" s="58">
        <f t="shared" ref="H1238:J1239" si="498">H1239</f>
        <v>3595.03</v>
      </c>
      <c r="I1238" s="58">
        <f t="shared" si="498"/>
        <v>3595.03</v>
      </c>
      <c r="J1238" s="58">
        <f t="shared" si="498"/>
        <v>3595.03</v>
      </c>
      <c r="K1238" s="58">
        <v>3595.03</v>
      </c>
      <c r="L1238" s="58">
        <v>3595.03</v>
      </c>
      <c r="M1238" s="58">
        <v>3595.03</v>
      </c>
      <c r="N1238" s="58"/>
      <c r="O1238" s="58">
        <v>3595.03</v>
      </c>
      <c r="P1238" s="58">
        <v>3595.03</v>
      </c>
      <c r="Q1238" s="58">
        <v>3595.03</v>
      </c>
      <c r="R1238" s="472">
        <f t="shared" si="482"/>
        <v>0</v>
      </c>
      <c r="S1238" s="472">
        <f t="shared" si="483"/>
        <v>0</v>
      </c>
      <c r="T1238" s="472">
        <f t="shared" si="484"/>
        <v>0</v>
      </c>
      <c r="U1238" s="54" t="s">
        <v>548</v>
      </c>
      <c r="V1238" s="57" t="s">
        <v>19</v>
      </c>
      <c r="W1238" s="57">
        <v>10</v>
      </c>
      <c r="X1238" s="57" t="s">
        <v>85</v>
      </c>
      <c r="Y1238" s="57" t="s">
        <v>545</v>
      </c>
      <c r="Z1238" s="57" t="s">
        <v>90</v>
      </c>
      <c r="AA1238" s="12" t="b">
        <f t="shared" si="489"/>
        <v>1</v>
      </c>
      <c r="AB1238" s="12" t="b">
        <f t="shared" si="490"/>
        <v>1</v>
      </c>
      <c r="AC1238" s="12" t="b">
        <f t="shared" si="491"/>
        <v>1</v>
      </c>
      <c r="AD1238" s="12" t="b">
        <f t="shared" si="492"/>
        <v>1</v>
      </c>
      <c r="AE1238" s="12" t="b">
        <f t="shared" si="493"/>
        <v>1</v>
      </c>
      <c r="AF1238" s="12" t="b">
        <f t="shared" si="494"/>
        <v>1</v>
      </c>
    </row>
    <row r="1239" spans="1:32" s="12" customFormat="1" ht="15.75" customHeight="1">
      <c r="A1239" s="285"/>
      <c r="B1239" s="182" t="s">
        <v>462</v>
      </c>
      <c r="C1239" s="37" t="s">
        <v>19</v>
      </c>
      <c r="D1239" s="37">
        <v>10</v>
      </c>
      <c r="E1239" s="37" t="s">
        <v>85</v>
      </c>
      <c r="F1239" s="37" t="s">
        <v>549</v>
      </c>
      <c r="G1239" s="37" t="s">
        <v>90</v>
      </c>
      <c r="H1239" s="183">
        <f t="shared" si="498"/>
        <v>3595.03</v>
      </c>
      <c r="I1239" s="183">
        <f t="shared" si="498"/>
        <v>3595.03</v>
      </c>
      <c r="J1239" s="183">
        <f t="shared" si="498"/>
        <v>3595.03</v>
      </c>
      <c r="K1239" s="183">
        <v>3595.03</v>
      </c>
      <c r="L1239" s="183">
        <v>3595.03</v>
      </c>
      <c r="M1239" s="183">
        <v>3595.03</v>
      </c>
      <c r="N1239" s="183"/>
      <c r="O1239" s="183">
        <v>3595.03</v>
      </c>
      <c r="P1239" s="183">
        <v>3595.03</v>
      </c>
      <c r="Q1239" s="183">
        <v>3595.03</v>
      </c>
      <c r="R1239" s="472">
        <f t="shared" si="482"/>
        <v>0</v>
      </c>
      <c r="S1239" s="472">
        <f t="shared" si="483"/>
        <v>0</v>
      </c>
      <c r="T1239" s="472">
        <f t="shared" si="484"/>
        <v>0</v>
      </c>
      <c r="U1239" s="182" t="s">
        <v>462</v>
      </c>
      <c r="V1239" s="37" t="s">
        <v>19</v>
      </c>
      <c r="W1239" s="37">
        <v>10</v>
      </c>
      <c r="X1239" s="37" t="s">
        <v>85</v>
      </c>
      <c r="Y1239" s="37" t="s">
        <v>549</v>
      </c>
      <c r="Z1239" s="37" t="s">
        <v>90</v>
      </c>
      <c r="AA1239" s="12" t="b">
        <f t="shared" si="489"/>
        <v>1</v>
      </c>
      <c r="AB1239" s="12" t="b">
        <f t="shared" si="490"/>
        <v>1</v>
      </c>
      <c r="AC1239" s="12" t="b">
        <f t="shared" si="491"/>
        <v>1</v>
      </c>
      <c r="AD1239" s="12" t="b">
        <f t="shared" si="492"/>
        <v>1</v>
      </c>
      <c r="AE1239" s="12" t="b">
        <f t="shared" si="493"/>
        <v>1</v>
      </c>
      <c r="AF1239" s="12" t="b">
        <f t="shared" si="494"/>
        <v>1</v>
      </c>
    </row>
    <row r="1240" spans="1:32" s="12" customFormat="1" ht="15.75" customHeight="1">
      <c r="A1240" s="285"/>
      <c r="B1240" s="465" t="s">
        <v>492</v>
      </c>
      <c r="C1240" s="57" t="s">
        <v>19</v>
      </c>
      <c r="D1240" s="57">
        <v>10</v>
      </c>
      <c r="E1240" s="57" t="s">
        <v>85</v>
      </c>
      <c r="F1240" s="57" t="s">
        <v>549</v>
      </c>
      <c r="G1240" s="57" t="s">
        <v>139</v>
      </c>
      <c r="H1240" s="58">
        <v>3595.03</v>
      </c>
      <c r="I1240" s="58">
        <v>3595.03</v>
      </c>
      <c r="J1240" s="58">
        <v>3595.03</v>
      </c>
      <c r="K1240" s="58">
        <v>3595.03</v>
      </c>
      <c r="L1240" s="58">
        <v>3595.03</v>
      </c>
      <c r="M1240" s="58">
        <v>3595.03</v>
      </c>
      <c r="N1240" s="58"/>
      <c r="O1240" s="58">
        <v>3595.03</v>
      </c>
      <c r="P1240" s="58">
        <v>3595.03</v>
      </c>
      <c r="Q1240" s="58">
        <v>3595.03</v>
      </c>
      <c r="R1240" s="472">
        <f t="shared" si="482"/>
        <v>0</v>
      </c>
      <c r="S1240" s="472">
        <f t="shared" si="483"/>
        <v>0</v>
      </c>
      <c r="T1240" s="472">
        <f t="shared" si="484"/>
        <v>0</v>
      </c>
      <c r="U1240" s="465" t="s">
        <v>492</v>
      </c>
      <c r="V1240" s="57" t="s">
        <v>19</v>
      </c>
      <c r="W1240" s="57">
        <v>10</v>
      </c>
      <c r="X1240" s="57" t="s">
        <v>85</v>
      </c>
      <c r="Y1240" s="57" t="s">
        <v>549</v>
      </c>
      <c r="Z1240" s="57" t="s">
        <v>139</v>
      </c>
      <c r="AA1240" s="12" t="b">
        <f t="shared" si="489"/>
        <v>1</v>
      </c>
      <c r="AB1240" s="12" t="b">
        <f t="shared" si="490"/>
        <v>1</v>
      </c>
      <c r="AC1240" s="12" t="b">
        <f t="shared" si="491"/>
        <v>1</v>
      </c>
      <c r="AD1240" s="12" t="b">
        <f t="shared" si="492"/>
        <v>1</v>
      </c>
      <c r="AE1240" s="12" t="b">
        <f t="shared" si="493"/>
        <v>1</v>
      </c>
      <c r="AF1240" s="12" t="b">
        <f t="shared" si="494"/>
        <v>1</v>
      </c>
    </row>
    <row r="1241" spans="1:32" s="12" customFormat="1" ht="15.75" customHeight="1">
      <c r="A1241" s="285"/>
      <c r="B1241" s="23"/>
      <c r="C1241" s="37"/>
      <c r="D1241" s="37"/>
      <c r="E1241" s="37"/>
      <c r="F1241" s="37"/>
      <c r="G1241" s="37"/>
      <c r="H1241" s="183"/>
      <c r="I1241" s="183"/>
      <c r="J1241" s="183"/>
      <c r="K1241" s="183"/>
      <c r="L1241" s="183"/>
      <c r="M1241" s="183"/>
      <c r="N1241" s="183"/>
      <c r="O1241" s="183"/>
      <c r="P1241" s="183"/>
      <c r="Q1241" s="183"/>
      <c r="R1241" s="472">
        <f t="shared" si="482"/>
        <v>0</v>
      </c>
      <c r="S1241" s="472">
        <f t="shared" si="483"/>
        <v>0</v>
      </c>
      <c r="T1241" s="472">
        <f t="shared" si="484"/>
        <v>0</v>
      </c>
      <c r="U1241" s="23"/>
      <c r="V1241" s="37"/>
      <c r="W1241" s="37"/>
      <c r="X1241" s="37"/>
      <c r="Y1241" s="37"/>
      <c r="Z1241" s="37"/>
      <c r="AA1241" s="12" t="b">
        <f t="shared" si="489"/>
        <v>1</v>
      </c>
      <c r="AB1241" s="12" t="b">
        <f t="shared" si="490"/>
        <v>1</v>
      </c>
      <c r="AC1241" s="12" t="b">
        <f t="shared" si="491"/>
        <v>1</v>
      </c>
      <c r="AD1241" s="12" t="b">
        <f t="shared" si="492"/>
        <v>1</v>
      </c>
      <c r="AE1241" s="12" t="b">
        <f t="shared" si="493"/>
        <v>1</v>
      </c>
      <c r="AF1241" s="12" t="b">
        <f t="shared" si="494"/>
        <v>1</v>
      </c>
    </row>
    <row r="1242" spans="1:32" s="12" customFormat="1" ht="15.75" customHeight="1">
      <c r="A1242" s="285"/>
      <c r="B1242" s="42" t="s">
        <v>14</v>
      </c>
      <c r="C1242" s="25" t="s">
        <v>15</v>
      </c>
      <c r="D1242" s="26" t="s">
        <v>83</v>
      </c>
      <c r="E1242" s="26" t="s">
        <v>83</v>
      </c>
      <c r="F1242" s="26" t="s">
        <v>223</v>
      </c>
      <c r="G1242" s="26" t="s">
        <v>90</v>
      </c>
      <c r="H1242" s="43">
        <f>H1243+H1270+H1290+H1314+H1284</f>
        <v>763947.93</v>
      </c>
      <c r="I1242" s="43">
        <f>I1243+I1270+I1290+I1314</f>
        <v>2189164.52</v>
      </c>
      <c r="J1242" s="43">
        <f>J1243+J1270+J1290+J1314</f>
        <v>104047.99000000002</v>
      </c>
      <c r="K1242" s="43">
        <v>763947.93</v>
      </c>
      <c r="L1242" s="43">
        <v>2189164.52</v>
      </c>
      <c r="M1242" s="43">
        <v>104047.99000000002</v>
      </c>
      <c r="N1242" s="43"/>
      <c r="O1242" s="43">
        <v>760167.93</v>
      </c>
      <c r="P1242" s="43">
        <v>2189164.52</v>
      </c>
      <c r="Q1242" s="43">
        <v>104029.32</v>
      </c>
      <c r="R1242" s="472">
        <f t="shared" si="482"/>
        <v>3780</v>
      </c>
      <c r="S1242" s="472">
        <f t="shared" si="483"/>
        <v>0</v>
      </c>
      <c r="T1242" s="472">
        <f t="shared" si="484"/>
        <v>18.670000000012806</v>
      </c>
      <c r="U1242" s="42" t="s">
        <v>14</v>
      </c>
      <c r="V1242" s="25" t="s">
        <v>15</v>
      </c>
      <c r="W1242" s="26" t="s">
        <v>83</v>
      </c>
      <c r="X1242" s="26" t="s">
        <v>83</v>
      </c>
      <c r="Y1242" s="26" t="s">
        <v>223</v>
      </c>
      <c r="Z1242" s="26" t="s">
        <v>90</v>
      </c>
      <c r="AA1242" s="12" t="b">
        <f t="shared" si="489"/>
        <v>1</v>
      </c>
      <c r="AB1242" s="12" t="b">
        <f t="shared" si="490"/>
        <v>1</v>
      </c>
      <c r="AC1242" s="12" t="b">
        <f t="shared" si="491"/>
        <v>1</v>
      </c>
      <c r="AD1242" s="12" t="b">
        <f t="shared" si="492"/>
        <v>1</v>
      </c>
      <c r="AE1242" s="12" t="b">
        <f t="shared" si="493"/>
        <v>1</v>
      </c>
      <c r="AF1242" s="12" t="b">
        <f t="shared" si="494"/>
        <v>1</v>
      </c>
    </row>
    <row r="1243" spans="1:32" s="12" customFormat="1" ht="15.75" customHeight="1">
      <c r="A1243" s="285"/>
      <c r="B1243" s="28" t="s">
        <v>97</v>
      </c>
      <c r="C1243" s="29" t="s">
        <v>15</v>
      </c>
      <c r="D1243" s="30" t="s">
        <v>98</v>
      </c>
      <c r="E1243" s="30" t="s">
        <v>83</v>
      </c>
      <c r="F1243" s="30" t="s">
        <v>223</v>
      </c>
      <c r="G1243" s="30" t="s">
        <v>90</v>
      </c>
      <c r="H1243" s="31">
        <f t="shared" ref="H1243:J1243" si="499">H1244</f>
        <v>90983.88</v>
      </c>
      <c r="I1243" s="31">
        <f t="shared" si="499"/>
        <v>91016.14</v>
      </c>
      <c r="J1243" s="31">
        <f t="shared" si="499"/>
        <v>91049.690000000017</v>
      </c>
      <c r="K1243" s="31">
        <v>90983.88</v>
      </c>
      <c r="L1243" s="31">
        <v>91016.14</v>
      </c>
      <c r="M1243" s="31">
        <v>91049.690000000017</v>
      </c>
      <c r="N1243" s="31"/>
      <c r="O1243" s="31">
        <v>90983.88</v>
      </c>
      <c r="P1243" s="31">
        <v>91016.14</v>
      </c>
      <c r="Q1243" s="31">
        <v>91031.02</v>
      </c>
      <c r="R1243" s="472">
        <f t="shared" si="482"/>
        <v>0</v>
      </c>
      <c r="S1243" s="472">
        <f t="shared" si="483"/>
        <v>0</v>
      </c>
      <c r="T1243" s="472">
        <f t="shared" si="484"/>
        <v>18.670000000012806</v>
      </c>
      <c r="U1243" s="28" t="s">
        <v>97</v>
      </c>
      <c r="V1243" s="29" t="s">
        <v>15</v>
      </c>
      <c r="W1243" s="30" t="s">
        <v>98</v>
      </c>
      <c r="X1243" s="30" t="s">
        <v>83</v>
      </c>
      <c r="Y1243" s="30" t="s">
        <v>223</v>
      </c>
      <c r="Z1243" s="30" t="s">
        <v>90</v>
      </c>
      <c r="AA1243" s="12" t="b">
        <f t="shared" si="489"/>
        <v>1</v>
      </c>
      <c r="AB1243" s="12" t="b">
        <f t="shared" si="490"/>
        <v>1</v>
      </c>
      <c r="AC1243" s="12" t="b">
        <f t="shared" si="491"/>
        <v>1</v>
      </c>
      <c r="AD1243" s="12" t="b">
        <f t="shared" si="492"/>
        <v>1</v>
      </c>
      <c r="AE1243" s="12" t="b">
        <f t="shared" si="493"/>
        <v>1</v>
      </c>
      <c r="AF1243" s="12" t="b">
        <f t="shared" si="494"/>
        <v>1</v>
      </c>
    </row>
    <row r="1244" spans="1:32" s="12" customFormat="1" ht="15.75" customHeight="1">
      <c r="A1244" s="285"/>
      <c r="B1244" s="32" t="s">
        <v>70</v>
      </c>
      <c r="C1244" s="33" t="s">
        <v>15</v>
      </c>
      <c r="D1244" s="34" t="s">
        <v>98</v>
      </c>
      <c r="E1244" s="34" t="s">
        <v>124</v>
      </c>
      <c r="F1244" s="34" t="s">
        <v>223</v>
      </c>
      <c r="G1244" s="34" t="s">
        <v>90</v>
      </c>
      <c r="H1244" s="35">
        <f>H1245+H1250</f>
        <v>90983.88</v>
      </c>
      <c r="I1244" s="35">
        <f>I1245+I1250</f>
        <v>91016.14</v>
      </c>
      <c r="J1244" s="35">
        <f>J1245+J1250</f>
        <v>91049.690000000017</v>
      </c>
      <c r="K1244" s="35">
        <v>90983.88</v>
      </c>
      <c r="L1244" s="35">
        <v>91016.14</v>
      </c>
      <c r="M1244" s="35">
        <v>91049.690000000017</v>
      </c>
      <c r="N1244" s="35"/>
      <c r="O1244" s="35">
        <v>90983.88</v>
      </c>
      <c r="P1244" s="35">
        <v>91016.14</v>
      </c>
      <c r="Q1244" s="35">
        <v>91031.02</v>
      </c>
      <c r="R1244" s="472">
        <f t="shared" si="482"/>
        <v>0</v>
      </c>
      <c r="S1244" s="472">
        <f t="shared" si="483"/>
        <v>0</v>
      </c>
      <c r="T1244" s="472">
        <f t="shared" si="484"/>
        <v>18.670000000012806</v>
      </c>
      <c r="U1244" s="32" t="s">
        <v>70</v>
      </c>
      <c r="V1244" s="33" t="s">
        <v>15</v>
      </c>
      <c r="W1244" s="34" t="s">
        <v>98</v>
      </c>
      <c r="X1244" s="34" t="s">
        <v>124</v>
      </c>
      <c r="Y1244" s="34" t="s">
        <v>223</v>
      </c>
      <c r="Z1244" s="34" t="s">
        <v>90</v>
      </c>
      <c r="AA1244" s="12" t="b">
        <f t="shared" si="489"/>
        <v>1</v>
      </c>
      <c r="AB1244" s="12" t="b">
        <f t="shared" si="490"/>
        <v>1</v>
      </c>
      <c r="AC1244" s="12" t="b">
        <f t="shared" si="491"/>
        <v>1</v>
      </c>
      <c r="AD1244" s="12" t="b">
        <f t="shared" si="492"/>
        <v>1</v>
      </c>
      <c r="AE1244" s="12" t="b">
        <f t="shared" si="493"/>
        <v>1</v>
      </c>
      <c r="AF1244" s="12" t="b">
        <f t="shared" si="494"/>
        <v>1</v>
      </c>
    </row>
    <row r="1245" spans="1:32" s="12" customFormat="1" ht="15.75" customHeight="1">
      <c r="A1245" s="285"/>
      <c r="B1245" s="182" t="s">
        <v>662</v>
      </c>
      <c r="C1245" s="36" t="s">
        <v>15</v>
      </c>
      <c r="D1245" s="37" t="s">
        <v>98</v>
      </c>
      <c r="E1245" s="37" t="s">
        <v>124</v>
      </c>
      <c r="F1245" s="70" t="s">
        <v>282</v>
      </c>
      <c r="G1245" s="37" t="s">
        <v>90</v>
      </c>
      <c r="H1245" s="183">
        <f t="shared" ref="H1245:J1248" si="500">H1246</f>
        <v>36.24</v>
      </c>
      <c r="I1245" s="183">
        <f t="shared" si="500"/>
        <v>36.24</v>
      </c>
      <c r="J1245" s="183">
        <f t="shared" si="500"/>
        <v>36.24</v>
      </c>
      <c r="K1245" s="183">
        <v>36.24</v>
      </c>
      <c r="L1245" s="183">
        <v>36.24</v>
      </c>
      <c r="M1245" s="183">
        <v>36.24</v>
      </c>
      <c r="N1245" s="183"/>
      <c r="O1245" s="183">
        <v>36.24</v>
      </c>
      <c r="P1245" s="183">
        <v>36.24</v>
      </c>
      <c r="Q1245" s="183">
        <v>36.24</v>
      </c>
      <c r="R1245" s="472">
        <f t="shared" si="482"/>
        <v>0</v>
      </c>
      <c r="S1245" s="472">
        <f t="shared" si="483"/>
        <v>0</v>
      </c>
      <c r="T1245" s="472">
        <f t="shared" si="484"/>
        <v>0</v>
      </c>
      <c r="U1245" s="182" t="s">
        <v>662</v>
      </c>
      <c r="V1245" s="36" t="s">
        <v>15</v>
      </c>
      <c r="W1245" s="37" t="s">
        <v>98</v>
      </c>
      <c r="X1245" s="37" t="s">
        <v>124</v>
      </c>
      <c r="Y1245" s="70" t="s">
        <v>282</v>
      </c>
      <c r="Z1245" s="37" t="s">
        <v>90</v>
      </c>
      <c r="AA1245" s="12" t="b">
        <f t="shared" si="489"/>
        <v>1</v>
      </c>
      <c r="AB1245" s="12" t="b">
        <f t="shared" si="490"/>
        <v>1</v>
      </c>
      <c r="AC1245" s="12" t="b">
        <f t="shared" si="491"/>
        <v>1</v>
      </c>
      <c r="AD1245" s="12" t="b">
        <f t="shared" si="492"/>
        <v>1</v>
      </c>
      <c r="AE1245" s="12" t="b">
        <f t="shared" si="493"/>
        <v>1</v>
      </c>
      <c r="AF1245" s="12" t="b">
        <f t="shared" si="494"/>
        <v>1</v>
      </c>
    </row>
    <row r="1246" spans="1:32" s="12" customFormat="1" ht="15.75" customHeight="1">
      <c r="A1246" s="285"/>
      <c r="B1246" s="182" t="s">
        <v>663</v>
      </c>
      <c r="C1246" s="36" t="s">
        <v>15</v>
      </c>
      <c r="D1246" s="37" t="s">
        <v>98</v>
      </c>
      <c r="E1246" s="37" t="s">
        <v>124</v>
      </c>
      <c r="F1246" s="70" t="s">
        <v>283</v>
      </c>
      <c r="G1246" s="37" t="s">
        <v>90</v>
      </c>
      <c r="H1246" s="183">
        <f t="shared" si="500"/>
        <v>36.24</v>
      </c>
      <c r="I1246" s="183">
        <f t="shared" si="500"/>
        <v>36.24</v>
      </c>
      <c r="J1246" s="183">
        <f t="shared" si="500"/>
        <v>36.24</v>
      </c>
      <c r="K1246" s="183">
        <v>36.24</v>
      </c>
      <c r="L1246" s="183">
        <v>36.24</v>
      </c>
      <c r="M1246" s="183">
        <v>36.24</v>
      </c>
      <c r="N1246" s="183"/>
      <c r="O1246" s="183">
        <v>36.24</v>
      </c>
      <c r="P1246" s="183">
        <v>36.24</v>
      </c>
      <c r="Q1246" s="183">
        <v>36.24</v>
      </c>
      <c r="R1246" s="472">
        <f t="shared" si="482"/>
        <v>0</v>
      </c>
      <c r="S1246" s="472">
        <f t="shared" si="483"/>
        <v>0</v>
      </c>
      <c r="T1246" s="472">
        <f t="shared" si="484"/>
        <v>0</v>
      </c>
      <c r="U1246" s="182" t="s">
        <v>663</v>
      </c>
      <c r="V1246" s="36" t="s">
        <v>15</v>
      </c>
      <c r="W1246" s="37" t="s">
        <v>98</v>
      </c>
      <c r="X1246" s="37" t="s">
        <v>124</v>
      </c>
      <c r="Y1246" s="70" t="s">
        <v>283</v>
      </c>
      <c r="Z1246" s="37" t="s">
        <v>90</v>
      </c>
      <c r="AA1246" s="12" t="b">
        <f t="shared" si="489"/>
        <v>1</v>
      </c>
      <c r="AB1246" s="12" t="b">
        <f t="shared" si="490"/>
        <v>1</v>
      </c>
      <c r="AC1246" s="12" t="b">
        <f t="shared" si="491"/>
        <v>1</v>
      </c>
      <c r="AD1246" s="12" t="b">
        <f t="shared" si="492"/>
        <v>1</v>
      </c>
      <c r="AE1246" s="12" t="b">
        <f t="shared" si="493"/>
        <v>1</v>
      </c>
      <c r="AF1246" s="12" t="b">
        <f t="shared" si="494"/>
        <v>1</v>
      </c>
    </row>
    <row r="1247" spans="1:32" s="12" customFormat="1" ht="15.75" customHeight="1">
      <c r="A1247" s="285"/>
      <c r="B1247" s="182" t="s">
        <v>284</v>
      </c>
      <c r="C1247" s="36" t="s">
        <v>15</v>
      </c>
      <c r="D1247" s="37" t="s">
        <v>98</v>
      </c>
      <c r="E1247" s="37" t="s">
        <v>124</v>
      </c>
      <c r="F1247" s="70" t="s">
        <v>287</v>
      </c>
      <c r="G1247" s="37" t="s">
        <v>90</v>
      </c>
      <c r="H1247" s="183">
        <f>H1248</f>
        <v>36.24</v>
      </c>
      <c r="I1247" s="183">
        <f>I1248</f>
        <v>36.24</v>
      </c>
      <c r="J1247" s="183">
        <f>J1248</f>
        <v>36.24</v>
      </c>
      <c r="K1247" s="183">
        <v>36.24</v>
      </c>
      <c r="L1247" s="183">
        <v>36.24</v>
      </c>
      <c r="M1247" s="183">
        <v>36.24</v>
      </c>
      <c r="N1247" s="183"/>
      <c r="O1247" s="183">
        <v>36.24</v>
      </c>
      <c r="P1247" s="183">
        <v>36.24</v>
      </c>
      <c r="Q1247" s="183">
        <v>36.24</v>
      </c>
      <c r="R1247" s="472">
        <f t="shared" si="482"/>
        <v>0</v>
      </c>
      <c r="S1247" s="472">
        <f t="shared" si="483"/>
        <v>0</v>
      </c>
      <c r="T1247" s="472">
        <f t="shared" si="484"/>
        <v>0</v>
      </c>
      <c r="U1247" s="182" t="s">
        <v>284</v>
      </c>
      <c r="V1247" s="36" t="s">
        <v>15</v>
      </c>
      <c r="W1247" s="37" t="s">
        <v>98</v>
      </c>
      <c r="X1247" s="37" t="s">
        <v>124</v>
      </c>
      <c r="Y1247" s="70" t="s">
        <v>287</v>
      </c>
      <c r="Z1247" s="37" t="s">
        <v>90</v>
      </c>
      <c r="AA1247" s="12" t="b">
        <f t="shared" si="489"/>
        <v>1</v>
      </c>
      <c r="AB1247" s="12" t="b">
        <f t="shared" si="490"/>
        <v>1</v>
      </c>
      <c r="AC1247" s="12" t="b">
        <f t="shared" si="491"/>
        <v>1</v>
      </c>
      <c r="AD1247" s="12" t="b">
        <f t="shared" si="492"/>
        <v>1</v>
      </c>
      <c r="AE1247" s="12" t="b">
        <f t="shared" si="493"/>
        <v>1</v>
      </c>
      <c r="AF1247" s="12" t="b">
        <f t="shared" si="494"/>
        <v>1</v>
      </c>
    </row>
    <row r="1248" spans="1:32" s="12" customFormat="1" ht="15.75" customHeight="1">
      <c r="A1248" s="285"/>
      <c r="B1248" s="182" t="s">
        <v>739</v>
      </c>
      <c r="C1248" s="36" t="s">
        <v>15</v>
      </c>
      <c r="D1248" s="37" t="s">
        <v>98</v>
      </c>
      <c r="E1248" s="37" t="s">
        <v>124</v>
      </c>
      <c r="F1248" s="37" t="s">
        <v>955</v>
      </c>
      <c r="G1248" s="37" t="s">
        <v>90</v>
      </c>
      <c r="H1248" s="183">
        <f t="shared" si="500"/>
        <v>36.24</v>
      </c>
      <c r="I1248" s="183">
        <f t="shared" si="500"/>
        <v>36.24</v>
      </c>
      <c r="J1248" s="183">
        <f t="shared" si="500"/>
        <v>36.24</v>
      </c>
      <c r="K1248" s="183">
        <v>36.24</v>
      </c>
      <c r="L1248" s="183">
        <v>36.24</v>
      </c>
      <c r="M1248" s="183">
        <v>36.24</v>
      </c>
      <c r="N1248" s="183"/>
      <c r="O1248" s="183">
        <v>36.24</v>
      </c>
      <c r="P1248" s="183">
        <v>36.24</v>
      </c>
      <c r="Q1248" s="183">
        <v>36.24</v>
      </c>
      <c r="R1248" s="472">
        <f t="shared" si="482"/>
        <v>0</v>
      </c>
      <c r="S1248" s="472">
        <f t="shared" si="483"/>
        <v>0</v>
      </c>
      <c r="T1248" s="472">
        <f t="shared" si="484"/>
        <v>0</v>
      </c>
      <c r="U1248" s="182" t="s">
        <v>739</v>
      </c>
      <c r="V1248" s="36" t="s">
        <v>15</v>
      </c>
      <c r="W1248" s="37" t="s">
        <v>98</v>
      </c>
      <c r="X1248" s="37" t="s">
        <v>124</v>
      </c>
      <c r="Y1248" s="37" t="s">
        <v>955</v>
      </c>
      <c r="Z1248" s="37" t="s">
        <v>90</v>
      </c>
      <c r="AA1248" s="12" t="b">
        <f t="shared" si="489"/>
        <v>1</v>
      </c>
      <c r="AB1248" s="12" t="b">
        <f t="shared" si="490"/>
        <v>1</v>
      </c>
      <c r="AC1248" s="12" t="b">
        <f t="shared" si="491"/>
        <v>1</v>
      </c>
      <c r="AD1248" s="12" t="b">
        <f t="shared" si="492"/>
        <v>1</v>
      </c>
      <c r="AE1248" s="12" t="b">
        <f t="shared" si="493"/>
        <v>1</v>
      </c>
      <c r="AF1248" s="12" t="b">
        <f t="shared" si="494"/>
        <v>1</v>
      </c>
    </row>
    <row r="1249" spans="1:32" s="12" customFormat="1" ht="15.75" customHeight="1">
      <c r="A1249" s="285"/>
      <c r="B1249" s="182" t="s">
        <v>145</v>
      </c>
      <c r="C1249" s="36" t="s">
        <v>15</v>
      </c>
      <c r="D1249" s="37" t="s">
        <v>98</v>
      </c>
      <c r="E1249" s="37" t="s">
        <v>124</v>
      </c>
      <c r="F1249" s="37" t="s">
        <v>955</v>
      </c>
      <c r="G1249" s="37" t="s">
        <v>153</v>
      </c>
      <c r="H1249" s="183">
        <v>36.24</v>
      </c>
      <c r="I1249" s="183">
        <v>36.24</v>
      </c>
      <c r="J1249" s="183">
        <v>36.24</v>
      </c>
      <c r="K1249" s="183">
        <v>36.24</v>
      </c>
      <c r="L1249" s="183">
        <v>36.24</v>
      </c>
      <c r="M1249" s="183">
        <v>36.24</v>
      </c>
      <c r="N1249" s="183"/>
      <c r="O1249" s="183">
        <v>36.24</v>
      </c>
      <c r="P1249" s="183">
        <v>36.24</v>
      </c>
      <c r="Q1249" s="183">
        <v>36.24</v>
      </c>
      <c r="R1249" s="472">
        <f t="shared" si="482"/>
        <v>0</v>
      </c>
      <c r="S1249" s="472">
        <f t="shared" si="483"/>
        <v>0</v>
      </c>
      <c r="T1249" s="472">
        <f t="shared" si="484"/>
        <v>0</v>
      </c>
      <c r="U1249" s="182" t="s">
        <v>145</v>
      </c>
      <c r="V1249" s="36" t="s">
        <v>15</v>
      </c>
      <c r="W1249" s="37" t="s">
        <v>98</v>
      </c>
      <c r="X1249" s="37" t="s">
        <v>124</v>
      </c>
      <c r="Y1249" s="37" t="s">
        <v>955</v>
      </c>
      <c r="Z1249" s="37" t="s">
        <v>153</v>
      </c>
      <c r="AA1249" s="12" t="b">
        <f t="shared" si="489"/>
        <v>1</v>
      </c>
      <c r="AB1249" s="12" t="b">
        <f t="shared" si="490"/>
        <v>1</v>
      </c>
      <c r="AC1249" s="12" t="b">
        <f t="shared" si="491"/>
        <v>1</v>
      </c>
      <c r="AD1249" s="12" t="b">
        <f t="shared" si="492"/>
        <v>1</v>
      </c>
      <c r="AE1249" s="12" t="b">
        <f t="shared" si="493"/>
        <v>1</v>
      </c>
      <c r="AF1249" s="12" t="b">
        <f t="shared" si="494"/>
        <v>1</v>
      </c>
    </row>
    <row r="1250" spans="1:32" s="12" customFormat="1" ht="15.75" customHeight="1">
      <c r="A1250" s="285"/>
      <c r="B1250" s="40" t="s">
        <v>221</v>
      </c>
      <c r="C1250" s="36" t="s">
        <v>15</v>
      </c>
      <c r="D1250" s="37" t="s">
        <v>98</v>
      </c>
      <c r="E1250" s="37" t="s">
        <v>124</v>
      </c>
      <c r="F1250" s="37" t="s">
        <v>501</v>
      </c>
      <c r="G1250" s="37" t="s">
        <v>90</v>
      </c>
      <c r="H1250" s="183">
        <f>H1251+H1264</f>
        <v>90947.64</v>
      </c>
      <c r="I1250" s="183">
        <f>I1251+I1264</f>
        <v>90979.9</v>
      </c>
      <c r="J1250" s="183">
        <f>J1251+J1264</f>
        <v>91013.450000000012</v>
      </c>
      <c r="K1250" s="183">
        <v>90947.64</v>
      </c>
      <c r="L1250" s="183">
        <v>90979.9</v>
      </c>
      <c r="M1250" s="183">
        <v>91013.450000000012</v>
      </c>
      <c r="N1250" s="183"/>
      <c r="O1250" s="183">
        <v>90947.64</v>
      </c>
      <c r="P1250" s="183">
        <v>90979.9</v>
      </c>
      <c r="Q1250" s="183">
        <v>90994.78</v>
      </c>
      <c r="R1250" s="472">
        <f t="shared" si="482"/>
        <v>0</v>
      </c>
      <c r="S1250" s="472">
        <f t="shared" si="483"/>
        <v>0</v>
      </c>
      <c r="T1250" s="472">
        <f t="shared" si="484"/>
        <v>18.670000000012806</v>
      </c>
      <c r="U1250" s="40" t="s">
        <v>221</v>
      </c>
      <c r="V1250" s="36" t="s">
        <v>15</v>
      </c>
      <c r="W1250" s="37" t="s">
        <v>98</v>
      </c>
      <c r="X1250" s="37" t="s">
        <v>124</v>
      </c>
      <c r="Y1250" s="37" t="s">
        <v>501</v>
      </c>
      <c r="Z1250" s="37" t="s">
        <v>90</v>
      </c>
      <c r="AA1250" s="12" t="b">
        <f t="shared" si="489"/>
        <v>1</v>
      </c>
      <c r="AB1250" s="12" t="b">
        <f t="shared" si="490"/>
        <v>1</v>
      </c>
      <c r="AC1250" s="12" t="b">
        <f t="shared" si="491"/>
        <v>1</v>
      </c>
      <c r="AD1250" s="12" t="b">
        <f t="shared" si="492"/>
        <v>1</v>
      </c>
      <c r="AE1250" s="12" t="b">
        <f t="shared" si="493"/>
        <v>1</v>
      </c>
      <c r="AF1250" s="12" t="b">
        <f t="shared" si="494"/>
        <v>1</v>
      </c>
    </row>
    <row r="1251" spans="1:32" s="12" customFormat="1" ht="15.75" customHeight="1">
      <c r="A1251" s="285"/>
      <c r="B1251" s="92" t="s">
        <v>509</v>
      </c>
      <c r="C1251" s="36" t="s">
        <v>15</v>
      </c>
      <c r="D1251" s="37" t="s">
        <v>98</v>
      </c>
      <c r="E1251" s="37" t="s">
        <v>124</v>
      </c>
      <c r="F1251" s="37" t="s">
        <v>502</v>
      </c>
      <c r="G1251" s="37" t="s">
        <v>90</v>
      </c>
      <c r="H1251" s="183">
        <f>H1252+H1256+H1262+H1258</f>
        <v>86897.64</v>
      </c>
      <c r="I1251" s="183">
        <f t="shared" ref="I1251:J1251" si="501">I1252+I1256+I1262+I1258</f>
        <v>86929.9</v>
      </c>
      <c r="J1251" s="183">
        <f t="shared" si="501"/>
        <v>86963.450000000012</v>
      </c>
      <c r="K1251" s="183">
        <v>86897.64</v>
      </c>
      <c r="L1251" s="183">
        <v>86929.9</v>
      </c>
      <c r="M1251" s="183">
        <v>86963.450000000012</v>
      </c>
      <c r="N1251" s="183"/>
      <c r="O1251" s="183">
        <v>86897.64</v>
      </c>
      <c r="P1251" s="183">
        <v>86929.9</v>
      </c>
      <c r="Q1251" s="183">
        <v>86944.78</v>
      </c>
      <c r="R1251" s="472">
        <f t="shared" si="482"/>
        <v>0</v>
      </c>
      <c r="S1251" s="472">
        <f t="shared" si="483"/>
        <v>0</v>
      </c>
      <c r="T1251" s="472">
        <f t="shared" si="484"/>
        <v>18.670000000012806</v>
      </c>
      <c r="U1251" s="92" t="s">
        <v>509</v>
      </c>
      <c r="V1251" s="36" t="s">
        <v>15</v>
      </c>
      <c r="W1251" s="37" t="s">
        <v>98</v>
      </c>
      <c r="X1251" s="37" t="s">
        <v>124</v>
      </c>
      <c r="Y1251" s="37" t="s">
        <v>502</v>
      </c>
      <c r="Z1251" s="37" t="s">
        <v>90</v>
      </c>
      <c r="AA1251" s="12" t="b">
        <f t="shared" si="489"/>
        <v>1</v>
      </c>
      <c r="AB1251" s="12" t="b">
        <f t="shared" si="490"/>
        <v>1</v>
      </c>
      <c r="AC1251" s="12" t="b">
        <f t="shared" si="491"/>
        <v>1</v>
      </c>
      <c r="AD1251" s="12" t="b">
        <f t="shared" si="492"/>
        <v>1</v>
      </c>
      <c r="AE1251" s="12" t="b">
        <f t="shared" si="493"/>
        <v>1</v>
      </c>
      <c r="AF1251" s="12" t="b">
        <f t="shared" si="494"/>
        <v>1</v>
      </c>
    </row>
    <row r="1252" spans="1:32" s="12" customFormat="1" ht="15.75" customHeight="1">
      <c r="A1252" s="285"/>
      <c r="B1252" s="40" t="s">
        <v>151</v>
      </c>
      <c r="C1252" s="36" t="s">
        <v>15</v>
      </c>
      <c r="D1252" s="37" t="s">
        <v>98</v>
      </c>
      <c r="E1252" s="37" t="s">
        <v>124</v>
      </c>
      <c r="F1252" s="37" t="s">
        <v>503</v>
      </c>
      <c r="G1252" s="37" t="s">
        <v>90</v>
      </c>
      <c r="H1252" s="183">
        <f>H1253+H1254+H1255</f>
        <v>4027.43</v>
      </c>
      <c r="I1252" s="183">
        <f>I1253+I1254+I1255</f>
        <v>4045.38</v>
      </c>
      <c r="J1252" s="183">
        <f>J1253+J1254+J1255</f>
        <v>4064.05</v>
      </c>
      <c r="K1252" s="183">
        <v>4027.43</v>
      </c>
      <c r="L1252" s="183">
        <v>4045.38</v>
      </c>
      <c r="M1252" s="183">
        <v>4064.05</v>
      </c>
      <c r="N1252" s="183"/>
      <c r="O1252" s="183">
        <v>4027.43</v>
      </c>
      <c r="P1252" s="183">
        <v>4045.38</v>
      </c>
      <c r="Q1252" s="183">
        <v>4045.38</v>
      </c>
      <c r="R1252" s="472">
        <f t="shared" si="482"/>
        <v>0</v>
      </c>
      <c r="S1252" s="472">
        <f t="shared" si="483"/>
        <v>0</v>
      </c>
      <c r="T1252" s="472">
        <f t="shared" si="484"/>
        <v>18.670000000000073</v>
      </c>
      <c r="U1252" s="40" t="s">
        <v>151</v>
      </c>
      <c r="V1252" s="36" t="s">
        <v>15</v>
      </c>
      <c r="W1252" s="37" t="s">
        <v>98</v>
      </c>
      <c r="X1252" s="37" t="s">
        <v>124</v>
      </c>
      <c r="Y1252" s="37" t="s">
        <v>503</v>
      </c>
      <c r="Z1252" s="37" t="s">
        <v>90</v>
      </c>
      <c r="AA1252" s="12" t="b">
        <f t="shared" si="489"/>
        <v>1</v>
      </c>
      <c r="AB1252" s="12" t="b">
        <f t="shared" si="490"/>
        <v>1</v>
      </c>
      <c r="AC1252" s="12" t="b">
        <f t="shared" si="491"/>
        <v>1</v>
      </c>
      <c r="AD1252" s="12" t="b">
        <f t="shared" si="492"/>
        <v>1</v>
      </c>
      <c r="AE1252" s="12" t="b">
        <f t="shared" si="493"/>
        <v>1</v>
      </c>
      <c r="AF1252" s="12" t="b">
        <f t="shared" si="494"/>
        <v>1</v>
      </c>
    </row>
    <row r="1253" spans="1:32" s="12" customFormat="1" ht="15.75" customHeight="1">
      <c r="A1253" s="285"/>
      <c r="B1253" s="23" t="s">
        <v>144</v>
      </c>
      <c r="C1253" s="36" t="s">
        <v>15</v>
      </c>
      <c r="D1253" s="37" t="s">
        <v>98</v>
      </c>
      <c r="E1253" s="37" t="s">
        <v>124</v>
      </c>
      <c r="F1253" s="37" t="s">
        <v>503</v>
      </c>
      <c r="G1253" s="37" t="s">
        <v>152</v>
      </c>
      <c r="H1253" s="183">
        <v>966</v>
      </c>
      <c r="I1253" s="183">
        <v>966</v>
      </c>
      <c r="J1253" s="183">
        <v>966</v>
      </c>
      <c r="K1253" s="183">
        <v>966</v>
      </c>
      <c r="L1253" s="183">
        <v>966</v>
      </c>
      <c r="M1253" s="183">
        <v>966</v>
      </c>
      <c r="N1253" s="183"/>
      <c r="O1253" s="183">
        <v>966</v>
      </c>
      <c r="P1253" s="183">
        <v>966</v>
      </c>
      <c r="Q1253" s="183">
        <v>966</v>
      </c>
      <c r="R1253" s="472">
        <f t="shared" si="482"/>
        <v>0</v>
      </c>
      <c r="S1253" s="472">
        <f t="shared" si="483"/>
        <v>0</v>
      </c>
      <c r="T1253" s="472">
        <f t="shared" si="484"/>
        <v>0</v>
      </c>
      <c r="U1253" s="23" t="s">
        <v>144</v>
      </c>
      <c r="V1253" s="36" t="s">
        <v>15</v>
      </c>
      <c r="W1253" s="37" t="s">
        <v>98</v>
      </c>
      <c r="X1253" s="37" t="s">
        <v>124</v>
      </c>
      <c r="Y1253" s="37" t="s">
        <v>503</v>
      </c>
      <c r="Z1253" s="37" t="s">
        <v>152</v>
      </c>
      <c r="AA1253" s="12" t="b">
        <f t="shared" si="489"/>
        <v>1</v>
      </c>
      <c r="AB1253" s="12" t="b">
        <f t="shared" si="490"/>
        <v>1</v>
      </c>
      <c r="AC1253" s="12" t="b">
        <f t="shared" si="491"/>
        <v>1</v>
      </c>
      <c r="AD1253" s="12" t="b">
        <f t="shared" si="492"/>
        <v>1</v>
      </c>
      <c r="AE1253" s="12" t="b">
        <f t="shared" si="493"/>
        <v>1</v>
      </c>
      <c r="AF1253" s="12" t="b">
        <f t="shared" si="494"/>
        <v>1</v>
      </c>
    </row>
    <row r="1254" spans="1:32" s="12" customFormat="1" ht="15.75" customHeight="1">
      <c r="A1254" s="285"/>
      <c r="B1254" s="23" t="s">
        <v>145</v>
      </c>
      <c r="C1254" s="36" t="s">
        <v>15</v>
      </c>
      <c r="D1254" s="37" t="s">
        <v>98</v>
      </c>
      <c r="E1254" s="37" t="s">
        <v>124</v>
      </c>
      <c r="F1254" s="37" t="s">
        <v>503</v>
      </c>
      <c r="G1254" s="37" t="s">
        <v>153</v>
      </c>
      <c r="H1254" s="183">
        <f>2874.43-4.8</f>
        <v>2869.6299999999997</v>
      </c>
      <c r="I1254" s="183">
        <f>2892.38-4.8</f>
        <v>2887.58</v>
      </c>
      <c r="J1254" s="183">
        <f>2892.38-4.8+18.67</f>
        <v>2906.25</v>
      </c>
      <c r="K1254" s="183">
        <v>2869.6299999999997</v>
      </c>
      <c r="L1254" s="183">
        <v>2887.58</v>
      </c>
      <c r="M1254" s="183">
        <v>2906.25</v>
      </c>
      <c r="N1254" s="183"/>
      <c r="O1254" s="183">
        <v>2869.6299999999997</v>
      </c>
      <c r="P1254" s="183">
        <v>2887.58</v>
      </c>
      <c r="Q1254" s="183">
        <v>2887.58</v>
      </c>
      <c r="R1254" s="472">
        <f t="shared" si="482"/>
        <v>0</v>
      </c>
      <c r="S1254" s="472">
        <f t="shared" si="483"/>
        <v>0</v>
      </c>
      <c r="T1254" s="472">
        <f t="shared" si="484"/>
        <v>18.670000000000073</v>
      </c>
      <c r="U1254" s="23" t="s">
        <v>145</v>
      </c>
      <c r="V1254" s="36" t="s">
        <v>15</v>
      </c>
      <c r="W1254" s="37" t="s">
        <v>98</v>
      </c>
      <c r="X1254" s="37" t="s">
        <v>124</v>
      </c>
      <c r="Y1254" s="37" t="s">
        <v>503</v>
      </c>
      <c r="Z1254" s="37" t="s">
        <v>153</v>
      </c>
      <c r="AA1254" s="12" t="b">
        <f t="shared" si="489"/>
        <v>1</v>
      </c>
      <c r="AB1254" s="12" t="b">
        <f t="shared" si="490"/>
        <v>1</v>
      </c>
      <c r="AC1254" s="12" t="b">
        <f t="shared" si="491"/>
        <v>1</v>
      </c>
      <c r="AD1254" s="12" t="b">
        <f t="shared" si="492"/>
        <v>1</v>
      </c>
      <c r="AE1254" s="12" t="b">
        <f t="shared" si="493"/>
        <v>1</v>
      </c>
      <c r="AF1254" s="12" t="b">
        <f t="shared" si="494"/>
        <v>1</v>
      </c>
    </row>
    <row r="1255" spans="1:32" s="12" customFormat="1" ht="15.75" customHeight="1">
      <c r="A1255" s="285"/>
      <c r="B1255" s="23" t="s">
        <v>137</v>
      </c>
      <c r="C1255" s="36" t="s">
        <v>15</v>
      </c>
      <c r="D1255" s="37" t="s">
        <v>98</v>
      </c>
      <c r="E1255" s="37" t="s">
        <v>124</v>
      </c>
      <c r="F1255" s="37" t="s">
        <v>503</v>
      </c>
      <c r="G1255" s="37" t="s">
        <v>155</v>
      </c>
      <c r="H1255" s="183">
        <v>191.8</v>
      </c>
      <c r="I1255" s="183">
        <v>191.8</v>
      </c>
      <c r="J1255" s="183">
        <v>191.8</v>
      </c>
      <c r="K1255" s="183">
        <v>191.8</v>
      </c>
      <c r="L1255" s="183">
        <v>191.8</v>
      </c>
      <c r="M1255" s="183">
        <v>191.8</v>
      </c>
      <c r="N1255" s="183"/>
      <c r="O1255" s="183">
        <v>191.8</v>
      </c>
      <c r="P1255" s="183">
        <v>191.8</v>
      </c>
      <c r="Q1255" s="183">
        <v>191.8</v>
      </c>
      <c r="R1255" s="472">
        <f t="shared" si="482"/>
        <v>0</v>
      </c>
      <c r="S1255" s="472">
        <f t="shared" si="483"/>
        <v>0</v>
      </c>
      <c r="T1255" s="472">
        <f t="shared" si="484"/>
        <v>0</v>
      </c>
      <c r="U1255" s="23" t="s">
        <v>137</v>
      </c>
      <c r="V1255" s="36" t="s">
        <v>15</v>
      </c>
      <c r="W1255" s="37" t="s">
        <v>98</v>
      </c>
      <c r="X1255" s="37" t="s">
        <v>124</v>
      </c>
      <c r="Y1255" s="37" t="s">
        <v>503</v>
      </c>
      <c r="Z1255" s="37" t="s">
        <v>155</v>
      </c>
      <c r="AA1255" s="12" t="b">
        <f t="shared" si="489"/>
        <v>1</v>
      </c>
      <c r="AB1255" s="12" t="b">
        <f t="shared" si="490"/>
        <v>1</v>
      </c>
      <c r="AC1255" s="12" t="b">
        <f t="shared" si="491"/>
        <v>1</v>
      </c>
      <c r="AD1255" s="12" t="b">
        <f t="shared" si="492"/>
        <v>1</v>
      </c>
      <c r="AE1255" s="12" t="b">
        <f t="shared" si="493"/>
        <v>1</v>
      </c>
      <c r="AF1255" s="12" t="b">
        <f t="shared" si="494"/>
        <v>1</v>
      </c>
    </row>
    <row r="1256" spans="1:32" s="12" customFormat="1" ht="15.75" customHeight="1">
      <c r="A1256" s="285"/>
      <c r="B1256" s="40" t="s">
        <v>161</v>
      </c>
      <c r="C1256" s="36" t="s">
        <v>15</v>
      </c>
      <c r="D1256" s="37" t="s">
        <v>98</v>
      </c>
      <c r="E1256" s="37" t="s">
        <v>124</v>
      </c>
      <c r="F1256" s="37" t="s">
        <v>504</v>
      </c>
      <c r="G1256" s="37" t="s">
        <v>90</v>
      </c>
      <c r="H1256" s="183">
        <f>H1257</f>
        <v>60786.12</v>
      </c>
      <c r="I1256" s="183">
        <f>I1257</f>
        <v>60786.12</v>
      </c>
      <c r="J1256" s="183">
        <f>J1257</f>
        <v>60786.12</v>
      </c>
      <c r="K1256" s="183">
        <v>60786.12</v>
      </c>
      <c r="L1256" s="183">
        <v>60786.12</v>
      </c>
      <c r="M1256" s="183">
        <v>60786.12</v>
      </c>
      <c r="N1256" s="183"/>
      <c r="O1256" s="183">
        <v>60786.12</v>
      </c>
      <c r="P1256" s="183">
        <v>60786.12</v>
      </c>
      <c r="Q1256" s="183">
        <v>60786.12</v>
      </c>
      <c r="R1256" s="472">
        <f t="shared" si="482"/>
        <v>0</v>
      </c>
      <c r="S1256" s="472">
        <f t="shared" si="483"/>
        <v>0</v>
      </c>
      <c r="T1256" s="472">
        <f t="shared" si="484"/>
        <v>0</v>
      </c>
      <c r="U1256" s="40" t="s">
        <v>161</v>
      </c>
      <c r="V1256" s="36" t="s">
        <v>15</v>
      </c>
      <c r="W1256" s="37" t="s">
        <v>98</v>
      </c>
      <c r="X1256" s="37" t="s">
        <v>124</v>
      </c>
      <c r="Y1256" s="37" t="s">
        <v>504</v>
      </c>
      <c r="Z1256" s="37" t="s">
        <v>90</v>
      </c>
      <c r="AA1256" s="12" t="b">
        <f t="shared" si="489"/>
        <v>1</v>
      </c>
      <c r="AB1256" s="12" t="b">
        <f t="shared" si="490"/>
        <v>1</v>
      </c>
      <c r="AC1256" s="12" t="b">
        <f t="shared" si="491"/>
        <v>1</v>
      </c>
      <c r="AD1256" s="12" t="b">
        <f t="shared" si="492"/>
        <v>1</v>
      </c>
      <c r="AE1256" s="12" t="b">
        <f t="shared" si="493"/>
        <v>1</v>
      </c>
      <c r="AF1256" s="12" t="b">
        <f t="shared" si="494"/>
        <v>1</v>
      </c>
    </row>
    <row r="1257" spans="1:32" s="12" customFormat="1" ht="15.75" customHeight="1">
      <c r="A1257" s="285"/>
      <c r="B1257" s="65" t="s">
        <v>144</v>
      </c>
      <c r="C1257" s="56" t="s">
        <v>15</v>
      </c>
      <c r="D1257" s="57" t="s">
        <v>98</v>
      </c>
      <c r="E1257" s="57" t="s">
        <v>124</v>
      </c>
      <c r="F1257" s="57" t="s">
        <v>504</v>
      </c>
      <c r="G1257" s="57" t="s">
        <v>152</v>
      </c>
      <c r="H1257" s="183">
        <v>60786.12</v>
      </c>
      <c r="I1257" s="183">
        <v>60786.12</v>
      </c>
      <c r="J1257" s="183">
        <v>60786.12</v>
      </c>
      <c r="K1257" s="183">
        <v>60786.12</v>
      </c>
      <c r="L1257" s="183">
        <v>60786.12</v>
      </c>
      <c r="M1257" s="183">
        <v>60786.12</v>
      </c>
      <c r="N1257" s="183"/>
      <c r="O1257" s="58">
        <v>60786.12</v>
      </c>
      <c r="P1257" s="58">
        <v>60786.12</v>
      </c>
      <c r="Q1257" s="58">
        <v>60786.12</v>
      </c>
      <c r="R1257" s="472">
        <f t="shared" si="482"/>
        <v>0</v>
      </c>
      <c r="S1257" s="472">
        <f t="shared" si="483"/>
        <v>0</v>
      </c>
      <c r="T1257" s="472">
        <f t="shared" si="484"/>
        <v>0</v>
      </c>
      <c r="U1257" s="65" t="s">
        <v>144</v>
      </c>
      <c r="V1257" s="56" t="s">
        <v>15</v>
      </c>
      <c r="W1257" s="57" t="s">
        <v>98</v>
      </c>
      <c r="X1257" s="57" t="s">
        <v>124</v>
      </c>
      <c r="Y1257" s="57" t="s">
        <v>504</v>
      </c>
      <c r="Z1257" s="57" t="s">
        <v>152</v>
      </c>
      <c r="AA1257" s="12" t="b">
        <f t="shared" si="489"/>
        <v>1</v>
      </c>
      <c r="AB1257" s="12" t="b">
        <f t="shared" si="490"/>
        <v>1</v>
      </c>
      <c r="AC1257" s="12" t="b">
        <f t="shared" si="491"/>
        <v>1</v>
      </c>
      <c r="AD1257" s="12" t="b">
        <f t="shared" si="492"/>
        <v>1</v>
      </c>
      <c r="AE1257" s="12" t="b">
        <f t="shared" si="493"/>
        <v>1</v>
      </c>
      <c r="AF1257" s="12" t="b">
        <f t="shared" si="494"/>
        <v>1</v>
      </c>
    </row>
    <row r="1258" spans="1:32" s="12" customFormat="1" ht="15.75" customHeight="1">
      <c r="A1258" s="285"/>
      <c r="B1258" s="182" t="s">
        <v>254</v>
      </c>
      <c r="C1258" s="36" t="s">
        <v>15</v>
      </c>
      <c r="D1258" s="37" t="s">
        <v>98</v>
      </c>
      <c r="E1258" s="37" t="s">
        <v>124</v>
      </c>
      <c r="F1258" s="37" t="s">
        <v>986</v>
      </c>
      <c r="G1258" s="37" t="s">
        <v>90</v>
      </c>
      <c r="H1258" s="183">
        <f>H1259+H1260+H1261</f>
        <v>22034.09</v>
      </c>
      <c r="I1258" s="183">
        <f>I1259+I1260+I1261</f>
        <v>22048.400000000001</v>
      </c>
      <c r="J1258" s="183">
        <f>J1259+J1260+J1261</f>
        <v>22063.279999999999</v>
      </c>
      <c r="K1258" s="183">
        <v>22034.09</v>
      </c>
      <c r="L1258" s="183">
        <v>22048.400000000001</v>
      </c>
      <c r="M1258" s="183">
        <v>22063.279999999999</v>
      </c>
      <c r="N1258" s="183"/>
      <c r="O1258" s="183">
        <v>22034.09</v>
      </c>
      <c r="P1258" s="183">
        <v>22048.400000000001</v>
      </c>
      <c r="Q1258" s="183">
        <v>22063.279999999999</v>
      </c>
      <c r="R1258" s="472">
        <f t="shared" si="482"/>
        <v>0</v>
      </c>
      <c r="S1258" s="472">
        <f t="shared" si="483"/>
        <v>0</v>
      </c>
      <c r="T1258" s="472">
        <f t="shared" si="484"/>
        <v>0</v>
      </c>
      <c r="U1258" s="182" t="s">
        <v>254</v>
      </c>
      <c r="V1258" s="36" t="s">
        <v>15</v>
      </c>
      <c r="W1258" s="37" t="s">
        <v>98</v>
      </c>
      <c r="X1258" s="37" t="s">
        <v>124</v>
      </c>
      <c r="Y1258" s="37" t="s">
        <v>986</v>
      </c>
      <c r="Z1258" s="37" t="s">
        <v>90</v>
      </c>
      <c r="AA1258" s="12" t="b">
        <f t="shared" si="489"/>
        <v>1</v>
      </c>
      <c r="AB1258" s="12" t="b">
        <f t="shared" si="490"/>
        <v>1</v>
      </c>
      <c r="AC1258" s="12" t="b">
        <f t="shared" si="491"/>
        <v>1</v>
      </c>
      <c r="AD1258" s="12" t="b">
        <f t="shared" si="492"/>
        <v>1</v>
      </c>
      <c r="AE1258" s="12" t="b">
        <f t="shared" si="493"/>
        <v>1</v>
      </c>
      <c r="AF1258" s="12" t="b">
        <f t="shared" si="494"/>
        <v>1</v>
      </c>
    </row>
    <row r="1259" spans="1:32" s="12" customFormat="1" ht="15.75" customHeight="1">
      <c r="A1259" s="285"/>
      <c r="B1259" s="182" t="s">
        <v>143</v>
      </c>
      <c r="C1259" s="36" t="s">
        <v>15</v>
      </c>
      <c r="D1259" s="37" t="s">
        <v>98</v>
      </c>
      <c r="E1259" s="37" t="s">
        <v>124</v>
      </c>
      <c r="F1259" s="37" t="s">
        <v>986</v>
      </c>
      <c r="G1259" s="37" t="s">
        <v>157</v>
      </c>
      <c r="H1259" s="183">
        <v>19068.39</v>
      </c>
      <c r="I1259" s="183">
        <v>19068.39</v>
      </c>
      <c r="J1259" s="183">
        <v>19068.39</v>
      </c>
      <c r="K1259" s="183">
        <v>19068.39</v>
      </c>
      <c r="L1259" s="183">
        <v>19068.39</v>
      </c>
      <c r="M1259" s="183">
        <v>19068.39</v>
      </c>
      <c r="N1259" s="183"/>
      <c r="O1259" s="183">
        <v>19068.39</v>
      </c>
      <c r="P1259" s="183">
        <v>19068.39</v>
      </c>
      <c r="Q1259" s="183">
        <v>19068.39</v>
      </c>
      <c r="R1259" s="472">
        <f t="shared" si="482"/>
        <v>0</v>
      </c>
      <c r="S1259" s="472">
        <f t="shared" si="483"/>
        <v>0</v>
      </c>
      <c r="T1259" s="472">
        <f t="shared" si="484"/>
        <v>0</v>
      </c>
      <c r="U1259" s="182" t="s">
        <v>143</v>
      </c>
      <c r="V1259" s="36" t="s">
        <v>15</v>
      </c>
      <c r="W1259" s="37" t="s">
        <v>98</v>
      </c>
      <c r="X1259" s="37" t="s">
        <v>124</v>
      </c>
      <c r="Y1259" s="37" t="s">
        <v>986</v>
      </c>
      <c r="Z1259" s="37" t="s">
        <v>157</v>
      </c>
      <c r="AA1259" s="12" t="b">
        <f t="shared" si="489"/>
        <v>1</v>
      </c>
      <c r="AB1259" s="12" t="b">
        <f t="shared" si="490"/>
        <v>1</v>
      </c>
      <c r="AC1259" s="12" t="b">
        <f t="shared" si="491"/>
        <v>1</v>
      </c>
      <c r="AD1259" s="12" t="b">
        <f t="shared" si="492"/>
        <v>1</v>
      </c>
      <c r="AE1259" s="12" t="b">
        <f t="shared" si="493"/>
        <v>1</v>
      </c>
      <c r="AF1259" s="12" t="b">
        <f t="shared" si="494"/>
        <v>1</v>
      </c>
    </row>
    <row r="1260" spans="1:32" s="12" customFormat="1" ht="15.75" customHeight="1">
      <c r="A1260" s="285"/>
      <c r="B1260" s="23" t="s">
        <v>145</v>
      </c>
      <c r="C1260" s="36" t="s">
        <v>15</v>
      </c>
      <c r="D1260" s="37" t="s">
        <v>98</v>
      </c>
      <c r="E1260" s="37" t="s">
        <v>124</v>
      </c>
      <c r="F1260" s="37" t="s">
        <v>986</v>
      </c>
      <c r="G1260" s="37" t="s">
        <v>153</v>
      </c>
      <c r="H1260" s="183">
        <f>2848.42+0.03</f>
        <v>2848.4500000000003</v>
      </c>
      <c r="I1260" s="183">
        <v>2862.76</v>
      </c>
      <c r="J1260" s="183">
        <v>2877.64</v>
      </c>
      <c r="K1260" s="183">
        <v>2848.4500000000003</v>
      </c>
      <c r="L1260" s="183">
        <v>2862.76</v>
      </c>
      <c r="M1260" s="183">
        <v>2877.64</v>
      </c>
      <c r="N1260" s="183"/>
      <c r="O1260" s="183">
        <v>2848.4500000000003</v>
      </c>
      <c r="P1260" s="183">
        <v>2862.76</v>
      </c>
      <c r="Q1260" s="183">
        <v>2877.64</v>
      </c>
      <c r="R1260" s="472">
        <f t="shared" si="482"/>
        <v>0</v>
      </c>
      <c r="S1260" s="472">
        <f t="shared" si="483"/>
        <v>0</v>
      </c>
      <c r="T1260" s="472">
        <f t="shared" si="484"/>
        <v>0</v>
      </c>
      <c r="U1260" s="23" t="s">
        <v>145</v>
      </c>
      <c r="V1260" s="36" t="s">
        <v>15</v>
      </c>
      <c r="W1260" s="37" t="s">
        <v>98</v>
      </c>
      <c r="X1260" s="37" t="s">
        <v>124</v>
      </c>
      <c r="Y1260" s="37" t="s">
        <v>986</v>
      </c>
      <c r="Z1260" s="37" t="s">
        <v>153</v>
      </c>
      <c r="AA1260" s="12" t="b">
        <f t="shared" si="489"/>
        <v>1</v>
      </c>
      <c r="AB1260" s="12" t="b">
        <f t="shared" si="490"/>
        <v>1</v>
      </c>
      <c r="AC1260" s="12" t="b">
        <f t="shared" si="491"/>
        <v>1</v>
      </c>
      <c r="AD1260" s="12" t="b">
        <f t="shared" si="492"/>
        <v>1</v>
      </c>
      <c r="AE1260" s="12" t="b">
        <f t="shared" si="493"/>
        <v>1</v>
      </c>
      <c r="AF1260" s="12" t="b">
        <f t="shared" si="494"/>
        <v>1</v>
      </c>
    </row>
    <row r="1261" spans="1:32" s="12" customFormat="1" ht="15.75" customHeight="1">
      <c r="A1261" s="285"/>
      <c r="B1261" s="23" t="s">
        <v>137</v>
      </c>
      <c r="C1261" s="36" t="s">
        <v>15</v>
      </c>
      <c r="D1261" s="37" t="s">
        <v>98</v>
      </c>
      <c r="E1261" s="37" t="s">
        <v>124</v>
      </c>
      <c r="F1261" s="37" t="s">
        <v>986</v>
      </c>
      <c r="G1261" s="37" t="s">
        <v>155</v>
      </c>
      <c r="H1261" s="183">
        <v>117.25</v>
      </c>
      <c r="I1261" s="183">
        <v>117.25</v>
      </c>
      <c r="J1261" s="183">
        <v>117.25</v>
      </c>
      <c r="K1261" s="183">
        <v>117.25</v>
      </c>
      <c r="L1261" s="183">
        <v>117.25</v>
      </c>
      <c r="M1261" s="183">
        <v>117.25</v>
      </c>
      <c r="N1261" s="183"/>
      <c r="O1261" s="183">
        <v>117.25</v>
      </c>
      <c r="P1261" s="183">
        <v>117.25</v>
      </c>
      <c r="Q1261" s="183">
        <v>117.25</v>
      </c>
      <c r="R1261" s="472">
        <f t="shared" si="482"/>
        <v>0</v>
      </c>
      <c r="S1261" s="472">
        <f t="shared" si="483"/>
        <v>0</v>
      </c>
      <c r="T1261" s="472">
        <f t="shared" si="484"/>
        <v>0</v>
      </c>
      <c r="U1261" s="23" t="s">
        <v>137</v>
      </c>
      <c r="V1261" s="36" t="s">
        <v>15</v>
      </c>
      <c r="W1261" s="37" t="s">
        <v>98</v>
      </c>
      <c r="X1261" s="37" t="s">
        <v>124</v>
      </c>
      <c r="Y1261" s="37" t="s">
        <v>986</v>
      </c>
      <c r="Z1261" s="37" t="s">
        <v>155</v>
      </c>
      <c r="AA1261" s="12" t="b">
        <f t="shared" si="489"/>
        <v>1</v>
      </c>
      <c r="AB1261" s="12" t="b">
        <f t="shared" si="490"/>
        <v>1</v>
      </c>
      <c r="AC1261" s="12" t="b">
        <f t="shared" si="491"/>
        <v>1</v>
      </c>
      <c r="AD1261" s="12" t="b">
        <f t="shared" si="492"/>
        <v>1</v>
      </c>
      <c r="AE1261" s="12" t="b">
        <f t="shared" si="493"/>
        <v>1</v>
      </c>
      <c r="AF1261" s="12" t="b">
        <f t="shared" si="494"/>
        <v>1</v>
      </c>
    </row>
    <row r="1262" spans="1:32" s="12" customFormat="1" ht="15.75" customHeight="1">
      <c r="A1262" s="285"/>
      <c r="B1262" s="182" t="s">
        <v>165</v>
      </c>
      <c r="C1262" s="36" t="s">
        <v>15</v>
      </c>
      <c r="D1262" s="37" t="s">
        <v>98</v>
      </c>
      <c r="E1262" s="37" t="s">
        <v>124</v>
      </c>
      <c r="F1262" s="37" t="s">
        <v>837</v>
      </c>
      <c r="G1262" s="37" t="s">
        <v>90</v>
      </c>
      <c r="H1262" s="183">
        <f>H1263</f>
        <v>50</v>
      </c>
      <c r="I1262" s="183">
        <f>I1263</f>
        <v>50</v>
      </c>
      <c r="J1262" s="183">
        <f>J1263</f>
        <v>50</v>
      </c>
      <c r="K1262" s="183">
        <v>50</v>
      </c>
      <c r="L1262" s="183">
        <v>50</v>
      </c>
      <c r="M1262" s="183">
        <v>50</v>
      </c>
      <c r="N1262" s="183"/>
      <c r="O1262" s="183">
        <v>50</v>
      </c>
      <c r="P1262" s="183">
        <v>50</v>
      </c>
      <c r="Q1262" s="183">
        <v>50</v>
      </c>
      <c r="R1262" s="472">
        <f t="shared" si="482"/>
        <v>0</v>
      </c>
      <c r="S1262" s="472">
        <f t="shared" si="483"/>
        <v>0</v>
      </c>
      <c r="T1262" s="472">
        <f t="shared" si="484"/>
        <v>0</v>
      </c>
      <c r="U1262" s="182" t="s">
        <v>165</v>
      </c>
      <c r="V1262" s="36" t="s">
        <v>15</v>
      </c>
      <c r="W1262" s="37" t="s">
        <v>98</v>
      </c>
      <c r="X1262" s="37" t="s">
        <v>124</v>
      </c>
      <c r="Y1262" s="37" t="s">
        <v>837</v>
      </c>
      <c r="Z1262" s="37" t="s">
        <v>90</v>
      </c>
      <c r="AA1262" s="12" t="b">
        <f t="shared" si="489"/>
        <v>1</v>
      </c>
      <c r="AB1262" s="12" t="b">
        <f t="shared" si="490"/>
        <v>1</v>
      </c>
      <c r="AC1262" s="12" t="b">
        <f t="shared" si="491"/>
        <v>1</v>
      </c>
      <c r="AD1262" s="12" t="b">
        <f t="shared" si="492"/>
        <v>1</v>
      </c>
      <c r="AE1262" s="12" t="b">
        <f t="shared" si="493"/>
        <v>1</v>
      </c>
      <c r="AF1262" s="12" t="b">
        <f t="shared" si="494"/>
        <v>1</v>
      </c>
    </row>
    <row r="1263" spans="1:32" s="12" customFormat="1" ht="15.75" customHeight="1">
      <c r="A1263" s="285"/>
      <c r="B1263" s="225" t="s">
        <v>136</v>
      </c>
      <c r="C1263" s="437" t="s">
        <v>15</v>
      </c>
      <c r="D1263" s="438" t="s">
        <v>98</v>
      </c>
      <c r="E1263" s="438" t="s">
        <v>124</v>
      </c>
      <c r="F1263" s="438" t="s">
        <v>837</v>
      </c>
      <c r="G1263" s="438" t="s">
        <v>166</v>
      </c>
      <c r="H1263" s="439">
        <v>50</v>
      </c>
      <c r="I1263" s="439">
        <v>50</v>
      </c>
      <c r="J1263" s="439">
        <v>50</v>
      </c>
      <c r="K1263" s="439">
        <v>50</v>
      </c>
      <c r="L1263" s="439">
        <v>50</v>
      </c>
      <c r="M1263" s="439">
        <v>50</v>
      </c>
      <c r="N1263" s="439"/>
      <c r="O1263" s="439">
        <v>50</v>
      </c>
      <c r="P1263" s="439">
        <v>50</v>
      </c>
      <c r="Q1263" s="439">
        <v>50</v>
      </c>
      <c r="R1263" s="472">
        <f t="shared" si="482"/>
        <v>0</v>
      </c>
      <c r="S1263" s="472">
        <f t="shared" si="483"/>
        <v>0</v>
      </c>
      <c r="T1263" s="472">
        <f t="shared" si="484"/>
        <v>0</v>
      </c>
      <c r="U1263" s="225" t="s">
        <v>136</v>
      </c>
      <c r="V1263" s="437" t="s">
        <v>15</v>
      </c>
      <c r="W1263" s="438" t="s">
        <v>98</v>
      </c>
      <c r="X1263" s="438" t="s">
        <v>124</v>
      </c>
      <c r="Y1263" s="438" t="s">
        <v>837</v>
      </c>
      <c r="Z1263" s="438" t="s">
        <v>166</v>
      </c>
      <c r="AA1263" s="12" t="b">
        <f t="shared" si="489"/>
        <v>1</v>
      </c>
      <c r="AB1263" s="12" t="b">
        <f t="shared" si="490"/>
        <v>1</v>
      </c>
      <c r="AC1263" s="12" t="b">
        <f t="shared" si="491"/>
        <v>1</v>
      </c>
      <c r="AD1263" s="12" t="b">
        <f t="shared" si="492"/>
        <v>1</v>
      </c>
      <c r="AE1263" s="12" t="b">
        <f t="shared" si="493"/>
        <v>1</v>
      </c>
      <c r="AF1263" s="12" t="b">
        <f t="shared" si="494"/>
        <v>1</v>
      </c>
    </row>
    <row r="1264" spans="1:32" s="12" customFormat="1" ht="15.75" customHeight="1">
      <c r="A1264" s="285"/>
      <c r="B1264" s="40" t="s">
        <v>200</v>
      </c>
      <c r="C1264" s="36" t="s">
        <v>15</v>
      </c>
      <c r="D1264" s="37" t="s">
        <v>98</v>
      </c>
      <c r="E1264" s="37" t="s">
        <v>124</v>
      </c>
      <c r="F1264" s="37" t="s">
        <v>505</v>
      </c>
      <c r="G1264" s="37" t="s">
        <v>90</v>
      </c>
      <c r="H1264" s="183">
        <f>H1268+H1265</f>
        <v>4050</v>
      </c>
      <c r="I1264" s="183">
        <f>I1268+I1265</f>
        <v>4050</v>
      </c>
      <c r="J1264" s="183">
        <f>J1268+J1265</f>
        <v>4050</v>
      </c>
      <c r="K1264" s="183">
        <v>4050</v>
      </c>
      <c r="L1264" s="183">
        <v>4050</v>
      </c>
      <c r="M1264" s="183">
        <v>4050</v>
      </c>
      <c r="N1264" s="183"/>
      <c r="O1264" s="183">
        <v>4050</v>
      </c>
      <c r="P1264" s="183">
        <v>4050</v>
      </c>
      <c r="Q1264" s="183">
        <v>4050</v>
      </c>
      <c r="R1264" s="472">
        <f t="shared" ref="R1264:R1312" si="502">H1264-O1264</f>
        <v>0</v>
      </c>
      <c r="S1264" s="472">
        <f t="shared" ref="S1264:S1312" si="503">I1264-P1264</f>
        <v>0</v>
      </c>
      <c r="T1264" s="472">
        <f t="shared" ref="T1264:T1312" si="504">J1264-Q1264</f>
        <v>0</v>
      </c>
      <c r="U1264" s="40" t="s">
        <v>200</v>
      </c>
      <c r="V1264" s="36" t="s">
        <v>15</v>
      </c>
      <c r="W1264" s="37" t="s">
        <v>98</v>
      </c>
      <c r="X1264" s="37" t="s">
        <v>124</v>
      </c>
      <c r="Y1264" s="37" t="s">
        <v>505</v>
      </c>
      <c r="Z1264" s="37" t="s">
        <v>90</v>
      </c>
      <c r="AA1264" s="12" t="b">
        <f t="shared" si="489"/>
        <v>1</v>
      </c>
      <c r="AB1264" s="12" t="b">
        <f t="shared" si="490"/>
        <v>1</v>
      </c>
      <c r="AC1264" s="12" t="b">
        <f t="shared" si="491"/>
        <v>1</v>
      </c>
      <c r="AD1264" s="12" t="b">
        <f t="shared" si="492"/>
        <v>1</v>
      </c>
      <c r="AE1264" s="12" t="b">
        <f t="shared" si="493"/>
        <v>1</v>
      </c>
      <c r="AF1264" s="12" t="b">
        <f t="shared" si="494"/>
        <v>1</v>
      </c>
    </row>
    <row r="1265" spans="1:32" s="12" customFormat="1" ht="15.75" customHeight="1">
      <c r="A1265" s="285"/>
      <c r="B1265" s="40" t="s">
        <v>201</v>
      </c>
      <c r="C1265" s="36" t="s">
        <v>15</v>
      </c>
      <c r="D1265" s="37" t="s">
        <v>98</v>
      </c>
      <c r="E1265" s="37" t="s">
        <v>124</v>
      </c>
      <c r="F1265" s="37" t="s">
        <v>726</v>
      </c>
      <c r="G1265" s="37" t="s">
        <v>90</v>
      </c>
      <c r="H1265" s="183">
        <f>H1266+H1267</f>
        <v>550</v>
      </c>
      <c r="I1265" s="183">
        <f>I1266+I1267</f>
        <v>550</v>
      </c>
      <c r="J1265" s="183">
        <f>J1266+J1267</f>
        <v>550</v>
      </c>
      <c r="K1265" s="183">
        <v>550</v>
      </c>
      <c r="L1265" s="183">
        <v>550</v>
      </c>
      <c r="M1265" s="183">
        <v>550</v>
      </c>
      <c r="N1265" s="183"/>
      <c r="O1265" s="183">
        <v>550</v>
      </c>
      <c r="P1265" s="183">
        <v>550</v>
      </c>
      <c r="Q1265" s="183">
        <v>550</v>
      </c>
      <c r="R1265" s="472">
        <f t="shared" si="502"/>
        <v>0</v>
      </c>
      <c r="S1265" s="472">
        <f t="shared" si="503"/>
        <v>0</v>
      </c>
      <c r="T1265" s="472">
        <f t="shared" si="504"/>
        <v>0</v>
      </c>
      <c r="U1265" s="40" t="s">
        <v>201</v>
      </c>
      <c r="V1265" s="36" t="s">
        <v>15</v>
      </c>
      <c r="W1265" s="37" t="s">
        <v>98</v>
      </c>
      <c r="X1265" s="37" t="s">
        <v>124</v>
      </c>
      <c r="Y1265" s="37" t="s">
        <v>726</v>
      </c>
      <c r="Z1265" s="37" t="s">
        <v>90</v>
      </c>
      <c r="AA1265" s="12" t="b">
        <f t="shared" si="489"/>
        <v>1</v>
      </c>
      <c r="AB1265" s="12" t="b">
        <f t="shared" si="490"/>
        <v>1</v>
      </c>
      <c r="AC1265" s="12" t="b">
        <f t="shared" si="491"/>
        <v>1</v>
      </c>
      <c r="AD1265" s="12" t="b">
        <f t="shared" si="492"/>
        <v>1</v>
      </c>
      <c r="AE1265" s="12" t="b">
        <f t="shared" si="493"/>
        <v>1</v>
      </c>
      <c r="AF1265" s="12" t="b">
        <f t="shared" si="494"/>
        <v>1</v>
      </c>
    </row>
    <row r="1266" spans="1:32" s="12" customFormat="1" ht="15.75" customHeight="1">
      <c r="A1266" s="285"/>
      <c r="B1266" s="182" t="s">
        <v>145</v>
      </c>
      <c r="C1266" s="36" t="s">
        <v>15</v>
      </c>
      <c r="D1266" s="37" t="s">
        <v>98</v>
      </c>
      <c r="E1266" s="37" t="s">
        <v>124</v>
      </c>
      <c r="F1266" s="37" t="s">
        <v>726</v>
      </c>
      <c r="G1266" s="37" t="s">
        <v>153</v>
      </c>
      <c r="H1266" s="183">
        <v>200</v>
      </c>
      <c r="I1266" s="183">
        <v>200</v>
      </c>
      <c r="J1266" s="183">
        <v>200</v>
      </c>
      <c r="K1266" s="183">
        <v>200</v>
      </c>
      <c r="L1266" s="183">
        <v>200</v>
      </c>
      <c r="M1266" s="183">
        <v>200</v>
      </c>
      <c r="N1266" s="183"/>
      <c r="O1266" s="183">
        <v>200</v>
      </c>
      <c r="P1266" s="183">
        <v>200</v>
      </c>
      <c r="Q1266" s="183">
        <v>200</v>
      </c>
      <c r="R1266" s="472">
        <f t="shared" si="502"/>
        <v>0</v>
      </c>
      <c r="S1266" s="472">
        <f t="shared" si="503"/>
        <v>0</v>
      </c>
      <c r="T1266" s="472">
        <f t="shared" si="504"/>
        <v>0</v>
      </c>
      <c r="U1266" s="182" t="s">
        <v>145</v>
      </c>
      <c r="V1266" s="36" t="s">
        <v>15</v>
      </c>
      <c r="W1266" s="37" t="s">
        <v>98</v>
      </c>
      <c r="X1266" s="37" t="s">
        <v>124</v>
      </c>
      <c r="Y1266" s="37" t="s">
        <v>726</v>
      </c>
      <c r="Z1266" s="37" t="s">
        <v>153</v>
      </c>
      <c r="AA1266" s="12" t="b">
        <f t="shared" si="489"/>
        <v>1</v>
      </c>
      <c r="AB1266" s="12" t="b">
        <f t="shared" si="490"/>
        <v>1</v>
      </c>
      <c r="AC1266" s="12" t="b">
        <f t="shared" si="491"/>
        <v>1</v>
      </c>
      <c r="AD1266" s="12" t="b">
        <f t="shared" si="492"/>
        <v>1</v>
      </c>
      <c r="AE1266" s="12" t="b">
        <f t="shared" si="493"/>
        <v>1</v>
      </c>
      <c r="AF1266" s="12" t="b">
        <f t="shared" si="494"/>
        <v>1</v>
      </c>
    </row>
    <row r="1267" spans="1:32" s="12" customFormat="1" ht="15.75" customHeight="1">
      <c r="A1267" s="285"/>
      <c r="B1267" s="23" t="s">
        <v>136</v>
      </c>
      <c r="C1267" s="36" t="s">
        <v>15</v>
      </c>
      <c r="D1267" s="37" t="s">
        <v>98</v>
      </c>
      <c r="E1267" s="37" t="s">
        <v>124</v>
      </c>
      <c r="F1267" s="37" t="s">
        <v>726</v>
      </c>
      <c r="G1267" s="37" t="s">
        <v>166</v>
      </c>
      <c r="H1267" s="183">
        <v>350</v>
      </c>
      <c r="I1267" s="183">
        <v>350</v>
      </c>
      <c r="J1267" s="183">
        <v>350</v>
      </c>
      <c r="K1267" s="183">
        <v>350</v>
      </c>
      <c r="L1267" s="183">
        <v>350</v>
      </c>
      <c r="M1267" s="183">
        <v>350</v>
      </c>
      <c r="N1267" s="183"/>
      <c r="O1267" s="183">
        <v>350</v>
      </c>
      <c r="P1267" s="183">
        <v>350</v>
      </c>
      <c r="Q1267" s="183">
        <v>350</v>
      </c>
      <c r="R1267" s="472">
        <f t="shared" si="502"/>
        <v>0</v>
      </c>
      <c r="S1267" s="472">
        <f t="shared" si="503"/>
        <v>0</v>
      </c>
      <c r="T1267" s="472">
        <f t="shared" si="504"/>
        <v>0</v>
      </c>
      <c r="U1267" s="23" t="s">
        <v>136</v>
      </c>
      <c r="V1267" s="36" t="s">
        <v>15</v>
      </c>
      <c r="W1267" s="37" t="s">
        <v>98</v>
      </c>
      <c r="X1267" s="37" t="s">
        <v>124</v>
      </c>
      <c r="Y1267" s="37" t="s">
        <v>726</v>
      </c>
      <c r="Z1267" s="37" t="s">
        <v>166</v>
      </c>
      <c r="AA1267" s="12" t="b">
        <f t="shared" si="489"/>
        <v>1</v>
      </c>
      <c r="AB1267" s="12" t="b">
        <f t="shared" si="490"/>
        <v>1</v>
      </c>
      <c r="AC1267" s="12" t="b">
        <f t="shared" si="491"/>
        <v>1</v>
      </c>
      <c r="AD1267" s="12" t="b">
        <f t="shared" si="492"/>
        <v>1</v>
      </c>
      <c r="AE1267" s="12" t="b">
        <f t="shared" si="493"/>
        <v>1</v>
      </c>
      <c r="AF1267" s="12" t="b">
        <f t="shared" si="494"/>
        <v>1</v>
      </c>
    </row>
    <row r="1268" spans="1:32" s="12" customFormat="1" ht="15.75" customHeight="1">
      <c r="A1268" s="285"/>
      <c r="B1268" s="23" t="s">
        <v>762</v>
      </c>
      <c r="C1268" s="36" t="s">
        <v>15</v>
      </c>
      <c r="D1268" s="37" t="s">
        <v>98</v>
      </c>
      <c r="E1268" s="37" t="s">
        <v>124</v>
      </c>
      <c r="F1268" s="37" t="s">
        <v>506</v>
      </c>
      <c r="G1268" s="37" t="s">
        <v>90</v>
      </c>
      <c r="H1268" s="183">
        <f>H1269</f>
        <v>3500</v>
      </c>
      <c r="I1268" s="183">
        <f>I1269</f>
        <v>3500</v>
      </c>
      <c r="J1268" s="183">
        <f>J1269</f>
        <v>3500</v>
      </c>
      <c r="K1268" s="183">
        <v>3500</v>
      </c>
      <c r="L1268" s="183">
        <v>3500</v>
      </c>
      <c r="M1268" s="183">
        <v>3500</v>
      </c>
      <c r="N1268" s="183"/>
      <c r="O1268" s="183">
        <v>3500</v>
      </c>
      <c r="P1268" s="183">
        <v>3500</v>
      </c>
      <c r="Q1268" s="183">
        <v>3500</v>
      </c>
      <c r="R1268" s="472">
        <f t="shared" si="502"/>
        <v>0</v>
      </c>
      <c r="S1268" s="472">
        <f t="shared" si="503"/>
        <v>0</v>
      </c>
      <c r="T1268" s="472">
        <f t="shared" si="504"/>
        <v>0</v>
      </c>
      <c r="U1268" s="23" t="s">
        <v>762</v>
      </c>
      <c r="V1268" s="36" t="s">
        <v>15</v>
      </c>
      <c r="W1268" s="37" t="s">
        <v>98</v>
      </c>
      <c r="X1268" s="37" t="s">
        <v>124</v>
      </c>
      <c r="Y1268" s="37" t="s">
        <v>506</v>
      </c>
      <c r="Z1268" s="37" t="s">
        <v>90</v>
      </c>
      <c r="AA1268" s="12" t="b">
        <f t="shared" si="489"/>
        <v>1</v>
      </c>
      <c r="AB1268" s="12" t="b">
        <f t="shared" si="490"/>
        <v>1</v>
      </c>
      <c r="AC1268" s="12" t="b">
        <f t="shared" si="491"/>
        <v>1</v>
      </c>
      <c r="AD1268" s="12" t="b">
        <f t="shared" si="492"/>
        <v>1</v>
      </c>
      <c r="AE1268" s="12" t="b">
        <f t="shared" si="493"/>
        <v>1</v>
      </c>
      <c r="AF1268" s="12" t="b">
        <f t="shared" si="494"/>
        <v>1</v>
      </c>
    </row>
    <row r="1269" spans="1:32" s="12" customFormat="1" ht="15.75" customHeight="1">
      <c r="A1269" s="285"/>
      <c r="B1269" s="182" t="s">
        <v>145</v>
      </c>
      <c r="C1269" s="36" t="s">
        <v>15</v>
      </c>
      <c r="D1269" s="37" t="s">
        <v>98</v>
      </c>
      <c r="E1269" s="37" t="s">
        <v>124</v>
      </c>
      <c r="F1269" s="37" t="s">
        <v>506</v>
      </c>
      <c r="G1269" s="37" t="s">
        <v>153</v>
      </c>
      <c r="H1269" s="183">
        <v>3500</v>
      </c>
      <c r="I1269" s="183">
        <v>3500</v>
      </c>
      <c r="J1269" s="183">
        <v>3500</v>
      </c>
      <c r="K1269" s="183">
        <v>3500</v>
      </c>
      <c r="L1269" s="183">
        <v>3500</v>
      </c>
      <c r="M1269" s="183">
        <v>3500</v>
      </c>
      <c r="N1269" s="183"/>
      <c r="O1269" s="183">
        <v>3500</v>
      </c>
      <c r="P1269" s="183">
        <v>3500</v>
      </c>
      <c r="Q1269" s="183">
        <v>3500</v>
      </c>
      <c r="R1269" s="472">
        <f t="shared" si="502"/>
        <v>0</v>
      </c>
      <c r="S1269" s="472">
        <f t="shared" si="503"/>
        <v>0</v>
      </c>
      <c r="T1269" s="472">
        <f t="shared" si="504"/>
        <v>0</v>
      </c>
      <c r="U1269" s="182" t="s">
        <v>145</v>
      </c>
      <c r="V1269" s="36" t="s">
        <v>15</v>
      </c>
      <c r="W1269" s="37" t="s">
        <v>98</v>
      </c>
      <c r="X1269" s="37" t="s">
        <v>124</v>
      </c>
      <c r="Y1269" s="37" t="s">
        <v>506</v>
      </c>
      <c r="Z1269" s="37" t="s">
        <v>153</v>
      </c>
      <c r="AA1269" s="12" t="b">
        <f t="shared" si="489"/>
        <v>1</v>
      </c>
      <c r="AB1269" s="12" t="b">
        <f t="shared" si="490"/>
        <v>1</v>
      </c>
      <c r="AC1269" s="12" t="b">
        <f t="shared" si="491"/>
        <v>1</v>
      </c>
      <c r="AD1269" s="12" t="b">
        <f t="shared" si="492"/>
        <v>1</v>
      </c>
      <c r="AE1269" s="12" t="b">
        <f t="shared" si="493"/>
        <v>1</v>
      </c>
      <c r="AF1269" s="12" t="b">
        <f t="shared" si="494"/>
        <v>1</v>
      </c>
    </row>
    <row r="1270" spans="1:32" s="12" customFormat="1" ht="15.75" customHeight="1">
      <c r="A1270" s="285"/>
      <c r="B1270" s="28" t="s">
        <v>67</v>
      </c>
      <c r="C1270" s="29" t="s">
        <v>15</v>
      </c>
      <c r="D1270" s="30" t="s">
        <v>69</v>
      </c>
      <c r="E1270" s="30" t="s">
        <v>83</v>
      </c>
      <c r="F1270" s="30" t="s">
        <v>223</v>
      </c>
      <c r="G1270" s="30" t="s">
        <v>90</v>
      </c>
      <c r="H1270" s="31">
        <f>H1271</f>
        <v>9588.2999999999993</v>
      </c>
      <c r="I1270" s="31">
        <f>I1271</f>
        <v>9588.2999999999993</v>
      </c>
      <c r="J1270" s="31">
        <f>J1271</f>
        <v>9588.2999999999993</v>
      </c>
      <c r="K1270" s="31">
        <v>9588.2999999999993</v>
      </c>
      <c r="L1270" s="31">
        <v>9588.2999999999993</v>
      </c>
      <c r="M1270" s="31">
        <v>9588.2999999999993</v>
      </c>
      <c r="N1270" s="31"/>
      <c r="O1270" s="31">
        <v>9588.2999999999993</v>
      </c>
      <c r="P1270" s="31">
        <v>9588.2999999999993</v>
      </c>
      <c r="Q1270" s="31">
        <v>9588.2999999999993</v>
      </c>
      <c r="R1270" s="472">
        <f t="shared" si="502"/>
        <v>0</v>
      </c>
      <c r="S1270" s="472">
        <f t="shared" si="503"/>
        <v>0</v>
      </c>
      <c r="T1270" s="472">
        <f t="shared" si="504"/>
        <v>0</v>
      </c>
      <c r="U1270" s="28" t="s">
        <v>67</v>
      </c>
      <c r="V1270" s="29" t="s">
        <v>15</v>
      </c>
      <c r="W1270" s="30" t="s">
        <v>69</v>
      </c>
      <c r="X1270" s="30" t="s">
        <v>83</v>
      </c>
      <c r="Y1270" s="30" t="s">
        <v>223</v>
      </c>
      <c r="Z1270" s="30" t="s">
        <v>90</v>
      </c>
      <c r="AA1270" s="12" t="b">
        <f t="shared" si="489"/>
        <v>1</v>
      </c>
      <c r="AB1270" s="12" t="b">
        <f t="shared" si="490"/>
        <v>1</v>
      </c>
      <c r="AC1270" s="12" t="b">
        <f t="shared" si="491"/>
        <v>1</v>
      </c>
      <c r="AD1270" s="12" t="b">
        <f t="shared" si="492"/>
        <v>1</v>
      </c>
      <c r="AE1270" s="12" t="b">
        <f t="shared" si="493"/>
        <v>1</v>
      </c>
      <c r="AF1270" s="12" t="b">
        <f t="shared" si="494"/>
        <v>1</v>
      </c>
    </row>
    <row r="1271" spans="1:32" s="12" customFormat="1" ht="15.75" customHeight="1">
      <c r="A1271" s="285"/>
      <c r="B1271" s="32" t="s">
        <v>106</v>
      </c>
      <c r="C1271" s="33" t="s">
        <v>15</v>
      </c>
      <c r="D1271" s="34" t="s">
        <v>69</v>
      </c>
      <c r="E1271" s="34" t="s">
        <v>72</v>
      </c>
      <c r="F1271" s="34" t="s">
        <v>223</v>
      </c>
      <c r="G1271" s="34" t="s">
        <v>90</v>
      </c>
      <c r="H1271" s="35">
        <f>H1272+H1280</f>
        <v>9588.2999999999993</v>
      </c>
      <c r="I1271" s="35">
        <f>I1272+I1280</f>
        <v>9588.2999999999993</v>
      </c>
      <c r="J1271" s="35">
        <f>J1272+J1280</f>
        <v>9588.2999999999993</v>
      </c>
      <c r="K1271" s="35">
        <v>9588.2999999999993</v>
      </c>
      <c r="L1271" s="35">
        <v>9588.2999999999993</v>
      </c>
      <c r="M1271" s="35">
        <v>9588.2999999999993</v>
      </c>
      <c r="N1271" s="35"/>
      <c r="O1271" s="35">
        <v>9588.2999999999993</v>
      </c>
      <c r="P1271" s="35">
        <v>9588.2999999999993</v>
      </c>
      <c r="Q1271" s="35">
        <v>9588.2999999999993</v>
      </c>
      <c r="R1271" s="472">
        <f t="shared" si="502"/>
        <v>0</v>
      </c>
      <c r="S1271" s="472">
        <f t="shared" si="503"/>
        <v>0</v>
      </c>
      <c r="T1271" s="472">
        <f t="shared" si="504"/>
        <v>0</v>
      </c>
      <c r="U1271" s="32" t="s">
        <v>106</v>
      </c>
      <c r="V1271" s="33" t="s">
        <v>15</v>
      </c>
      <c r="W1271" s="34" t="s">
        <v>69</v>
      </c>
      <c r="X1271" s="34" t="s">
        <v>72</v>
      </c>
      <c r="Y1271" s="34" t="s">
        <v>223</v>
      </c>
      <c r="Z1271" s="34" t="s">
        <v>90</v>
      </c>
      <c r="AA1271" s="12" t="b">
        <f t="shared" si="489"/>
        <v>1</v>
      </c>
      <c r="AB1271" s="12" t="b">
        <f t="shared" si="490"/>
        <v>1</v>
      </c>
      <c r="AC1271" s="12" t="b">
        <f t="shared" si="491"/>
        <v>1</v>
      </c>
      <c r="AD1271" s="12" t="b">
        <f t="shared" si="492"/>
        <v>1</v>
      </c>
      <c r="AE1271" s="12" t="b">
        <f t="shared" si="493"/>
        <v>1</v>
      </c>
      <c r="AF1271" s="12" t="b">
        <f t="shared" si="494"/>
        <v>1</v>
      </c>
    </row>
    <row r="1272" spans="1:32" s="12" customFormat="1" ht="15.75" customHeight="1">
      <c r="A1272" s="285"/>
      <c r="B1272" s="182" t="s">
        <v>652</v>
      </c>
      <c r="C1272" s="36" t="s">
        <v>15</v>
      </c>
      <c r="D1272" s="36" t="s">
        <v>69</v>
      </c>
      <c r="E1272" s="36" t="s">
        <v>72</v>
      </c>
      <c r="F1272" s="36" t="s">
        <v>496</v>
      </c>
      <c r="G1272" s="36" t="s">
        <v>90</v>
      </c>
      <c r="H1272" s="69">
        <f t="shared" ref="H1272:J1272" si="505">H1273</f>
        <v>9488.2999999999993</v>
      </c>
      <c r="I1272" s="69">
        <f t="shared" si="505"/>
        <v>9488.2999999999993</v>
      </c>
      <c r="J1272" s="69">
        <f t="shared" si="505"/>
        <v>9488.2999999999993</v>
      </c>
      <c r="K1272" s="69">
        <v>9488.2999999999993</v>
      </c>
      <c r="L1272" s="69">
        <v>9488.2999999999993</v>
      </c>
      <c r="M1272" s="69">
        <v>9488.2999999999993</v>
      </c>
      <c r="N1272" s="69"/>
      <c r="O1272" s="69">
        <v>9488.2999999999993</v>
      </c>
      <c r="P1272" s="69">
        <v>9488.2999999999993</v>
      </c>
      <c r="Q1272" s="69">
        <v>9488.2999999999993</v>
      </c>
      <c r="R1272" s="472">
        <f t="shared" si="502"/>
        <v>0</v>
      </c>
      <c r="S1272" s="472">
        <f t="shared" si="503"/>
        <v>0</v>
      </c>
      <c r="T1272" s="472">
        <f t="shared" si="504"/>
        <v>0</v>
      </c>
      <c r="U1272" s="182" t="s">
        <v>652</v>
      </c>
      <c r="V1272" s="36" t="s">
        <v>15</v>
      </c>
      <c r="W1272" s="36" t="s">
        <v>69</v>
      </c>
      <c r="X1272" s="36" t="s">
        <v>72</v>
      </c>
      <c r="Y1272" s="36" t="s">
        <v>496</v>
      </c>
      <c r="Z1272" s="36" t="s">
        <v>90</v>
      </c>
      <c r="AA1272" s="12" t="b">
        <f t="shared" si="489"/>
        <v>1</v>
      </c>
      <c r="AB1272" s="12" t="b">
        <f t="shared" si="490"/>
        <v>1</v>
      </c>
      <c r="AC1272" s="12" t="b">
        <f t="shared" si="491"/>
        <v>1</v>
      </c>
      <c r="AD1272" s="12" t="b">
        <f t="shared" si="492"/>
        <v>1</v>
      </c>
      <c r="AE1272" s="12" t="b">
        <f t="shared" si="493"/>
        <v>1</v>
      </c>
      <c r="AF1272" s="12" t="b">
        <f t="shared" si="494"/>
        <v>1</v>
      </c>
    </row>
    <row r="1273" spans="1:32" s="12" customFormat="1" ht="15.75" customHeight="1">
      <c r="A1273" s="285"/>
      <c r="B1273" s="182" t="s">
        <v>654</v>
      </c>
      <c r="C1273" s="36" t="s">
        <v>15</v>
      </c>
      <c r="D1273" s="36" t="s">
        <v>69</v>
      </c>
      <c r="E1273" s="36" t="s">
        <v>72</v>
      </c>
      <c r="F1273" s="36" t="s">
        <v>653</v>
      </c>
      <c r="G1273" s="36" t="s">
        <v>90</v>
      </c>
      <c r="H1273" s="69">
        <f>H1274+H1277</f>
        <v>9488.2999999999993</v>
      </c>
      <c r="I1273" s="69">
        <f t="shared" ref="I1273:J1273" si="506">I1274+I1277</f>
        <v>9488.2999999999993</v>
      </c>
      <c r="J1273" s="69">
        <f t="shared" si="506"/>
        <v>9488.2999999999993</v>
      </c>
      <c r="K1273" s="69">
        <v>9488.2999999999993</v>
      </c>
      <c r="L1273" s="69">
        <v>9488.2999999999993</v>
      </c>
      <c r="M1273" s="69">
        <v>9488.2999999999993</v>
      </c>
      <c r="N1273" s="69"/>
      <c r="O1273" s="69">
        <v>9488.2999999999993</v>
      </c>
      <c r="P1273" s="69">
        <v>9488.2999999999993</v>
      </c>
      <c r="Q1273" s="69">
        <v>9488.2999999999993</v>
      </c>
      <c r="R1273" s="472">
        <f t="shared" si="502"/>
        <v>0</v>
      </c>
      <c r="S1273" s="472">
        <f t="shared" si="503"/>
        <v>0</v>
      </c>
      <c r="T1273" s="472">
        <f t="shared" si="504"/>
        <v>0</v>
      </c>
      <c r="U1273" s="182" t="s">
        <v>654</v>
      </c>
      <c r="V1273" s="36" t="s">
        <v>15</v>
      </c>
      <c r="W1273" s="36" t="s">
        <v>69</v>
      </c>
      <c r="X1273" s="36" t="s">
        <v>72</v>
      </c>
      <c r="Y1273" s="36" t="s">
        <v>653</v>
      </c>
      <c r="Z1273" s="36" t="s">
        <v>90</v>
      </c>
      <c r="AA1273" s="12" t="b">
        <f t="shared" si="489"/>
        <v>1</v>
      </c>
      <c r="AB1273" s="12" t="b">
        <f t="shared" si="490"/>
        <v>1</v>
      </c>
      <c r="AC1273" s="12" t="b">
        <f t="shared" si="491"/>
        <v>1</v>
      </c>
      <c r="AD1273" s="12" t="b">
        <f t="shared" si="492"/>
        <v>1</v>
      </c>
      <c r="AE1273" s="12" t="b">
        <f t="shared" si="493"/>
        <v>1</v>
      </c>
      <c r="AF1273" s="12" t="b">
        <f t="shared" si="494"/>
        <v>1</v>
      </c>
    </row>
    <row r="1274" spans="1:32" s="12" customFormat="1" ht="15.75" customHeight="1">
      <c r="A1274" s="285"/>
      <c r="B1274" s="182" t="s">
        <v>497</v>
      </c>
      <c r="C1274" s="36" t="s">
        <v>15</v>
      </c>
      <c r="D1274" s="36" t="s">
        <v>69</v>
      </c>
      <c r="E1274" s="36" t="s">
        <v>72</v>
      </c>
      <c r="F1274" s="36" t="s">
        <v>727</v>
      </c>
      <c r="G1274" s="36" t="s">
        <v>90</v>
      </c>
      <c r="H1274" s="69">
        <f t="shared" ref="H1274:J1275" si="507">H1275</f>
        <v>6745.4199999999992</v>
      </c>
      <c r="I1274" s="69">
        <f t="shared" si="507"/>
        <v>7105.7899999999991</v>
      </c>
      <c r="J1274" s="69">
        <f t="shared" si="507"/>
        <v>7860.15</v>
      </c>
      <c r="K1274" s="69">
        <v>6745.4199999999992</v>
      </c>
      <c r="L1274" s="69">
        <v>7105.7899999999991</v>
      </c>
      <c r="M1274" s="69">
        <v>7860.15</v>
      </c>
      <c r="N1274" s="69"/>
      <c r="O1274" s="69">
        <v>9488.2999999999993</v>
      </c>
      <c r="P1274" s="69">
        <v>9488.2999999999993</v>
      </c>
      <c r="Q1274" s="69">
        <v>9488.2999999999993</v>
      </c>
      <c r="R1274" s="472">
        <f t="shared" si="502"/>
        <v>-2742.88</v>
      </c>
      <c r="S1274" s="472">
        <f t="shared" si="503"/>
        <v>-2382.5100000000002</v>
      </c>
      <c r="T1274" s="472">
        <f t="shared" si="504"/>
        <v>-1628.1499999999996</v>
      </c>
      <c r="U1274" s="182" t="s">
        <v>497</v>
      </c>
      <c r="V1274" s="36" t="s">
        <v>15</v>
      </c>
      <c r="W1274" s="36" t="s">
        <v>69</v>
      </c>
      <c r="X1274" s="36" t="s">
        <v>72</v>
      </c>
      <c r="Y1274" s="36" t="s">
        <v>727</v>
      </c>
      <c r="Z1274" s="36" t="s">
        <v>90</v>
      </c>
      <c r="AA1274" s="12" t="b">
        <f t="shared" si="489"/>
        <v>1</v>
      </c>
      <c r="AB1274" s="12" t="b">
        <f t="shared" si="490"/>
        <v>1</v>
      </c>
      <c r="AC1274" s="12" t="b">
        <f t="shared" si="491"/>
        <v>1</v>
      </c>
      <c r="AD1274" s="12" t="b">
        <f t="shared" si="492"/>
        <v>1</v>
      </c>
      <c r="AE1274" s="12" t="b">
        <f t="shared" si="493"/>
        <v>1</v>
      </c>
      <c r="AF1274" s="12" t="b">
        <f t="shared" si="494"/>
        <v>1</v>
      </c>
    </row>
    <row r="1275" spans="1:32" s="12" customFormat="1" ht="15.75" customHeight="1">
      <c r="A1275" s="285"/>
      <c r="B1275" s="22" t="s">
        <v>773</v>
      </c>
      <c r="C1275" s="36" t="s">
        <v>15</v>
      </c>
      <c r="D1275" s="36" t="s">
        <v>69</v>
      </c>
      <c r="E1275" s="36" t="s">
        <v>72</v>
      </c>
      <c r="F1275" s="36" t="s">
        <v>728</v>
      </c>
      <c r="G1275" s="36" t="s">
        <v>90</v>
      </c>
      <c r="H1275" s="69">
        <f t="shared" si="507"/>
        <v>6745.4199999999992</v>
      </c>
      <c r="I1275" s="69">
        <f t="shared" si="507"/>
        <v>7105.7899999999991</v>
      </c>
      <c r="J1275" s="69">
        <f t="shared" si="507"/>
        <v>7860.15</v>
      </c>
      <c r="K1275" s="69">
        <v>6745.4199999999992</v>
      </c>
      <c r="L1275" s="69">
        <v>7105.7899999999991</v>
      </c>
      <c r="M1275" s="69">
        <v>7860.15</v>
      </c>
      <c r="N1275" s="69"/>
      <c r="O1275" s="69">
        <v>9488.2999999999993</v>
      </c>
      <c r="P1275" s="69">
        <v>9488.2999999999993</v>
      </c>
      <c r="Q1275" s="69">
        <v>9488.2999999999993</v>
      </c>
      <c r="R1275" s="472">
        <f t="shared" si="502"/>
        <v>-2742.88</v>
      </c>
      <c r="S1275" s="472">
        <f t="shared" si="503"/>
        <v>-2382.5100000000002</v>
      </c>
      <c r="T1275" s="472">
        <f t="shared" si="504"/>
        <v>-1628.1499999999996</v>
      </c>
      <c r="U1275" s="22" t="s">
        <v>773</v>
      </c>
      <c r="V1275" s="36" t="s">
        <v>15</v>
      </c>
      <c r="W1275" s="36" t="s">
        <v>69</v>
      </c>
      <c r="X1275" s="36" t="s">
        <v>72</v>
      </c>
      <c r="Y1275" s="36" t="s">
        <v>728</v>
      </c>
      <c r="Z1275" s="36" t="s">
        <v>90</v>
      </c>
      <c r="AA1275" s="12" t="b">
        <f t="shared" si="489"/>
        <v>1</v>
      </c>
      <c r="AB1275" s="12" t="b">
        <f t="shared" si="490"/>
        <v>1</v>
      </c>
      <c r="AC1275" s="12" t="b">
        <f t="shared" si="491"/>
        <v>1</v>
      </c>
      <c r="AD1275" s="12" t="b">
        <f t="shared" si="492"/>
        <v>1</v>
      </c>
      <c r="AE1275" s="12" t="b">
        <f t="shared" si="493"/>
        <v>1</v>
      </c>
      <c r="AF1275" s="12" t="b">
        <f t="shared" si="494"/>
        <v>1</v>
      </c>
    </row>
    <row r="1276" spans="1:32" s="12" customFormat="1" ht="15.75" customHeight="1">
      <c r="A1276" s="285"/>
      <c r="B1276" s="54" t="s">
        <v>145</v>
      </c>
      <c r="C1276" s="56" t="s">
        <v>15</v>
      </c>
      <c r="D1276" s="56" t="s">
        <v>69</v>
      </c>
      <c r="E1276" s="56" t="s">
        <v>72</v>
      </c>
      <c r="F1276" s="56" t="s">
        <v>728</v>
      </c>
      <c r="G1276" s="56" t="s">
        <v>153</v>
      </c>
      <c r="H1276" s="60">
        <f>9488.3-2742.88</f>
        <v>6745.4199999999992</v>
      </c>
      <c r="I1276" s="60">
        <f>9488.3-2382.51</f>
        <v>7105.7899999999991</v>
      </c>
      <c r="J1276" s="60">
        <f>9488.3-1628.15</f>
        <v>7860.15</v>
      </c>
      <c r="K1276" s="60">
        <v>6745.4199999999992</v>
      </c>
      <c r="L1276" s="60">
        <v>7105.7899999999991</v>
      </c>
      <c r="M1276" s="60">
        <v>7860.15</v>
      </c>
      <c r="N1276" s="60"/>
      <c r="O1276" s="60">
        <v>9488.2999999999993</v>
      </c>
      <c r="P1276" s="60">
        <v>9488.2999999999993</v>
      </c>
      <c r="Q1276" s="60">
        <v>9488.2999999999993</v>
      </c>
      <c r="R1276" s="472">
        <f t="shared" si="502"/>
        <v>-2742.88</v>
      </c>
      <c r="S1276" s="472">
        <f t="shared" si="503"/>
        <v>-2382.5100000000002</v>
      </c>
      <c r="T1276" s="472">
        <f t="shared" si="504"/>
        <v>-1628.1499999999996</v>
      </c>
      <c r="U1276" s="54" t="s">
        <v>145</v>
      </c>
      <c r="V1276" s="56" t="s">
        <v>15</v>
      </c>
      <c r="W1276" s="56" t="s">
        <v>69</v>
      </c>
      <c r="X1276" s="56" t="s">
        <v>72</v>
      </c>
      <c r="Y1276" s="56" t="s">
        <v>728</v>
      </c>
      <c r="Z1276" s="56" t="s">
        <v>153</v>
      </c>
      <c r="AA1276" s="12" t="b">
        <f t="shared" si="489"/>
        <v>1</v>
      </c>
      <c r="AB1276" s="12" t="b">
        <f t="shared" si="490"/>
        <v>1</v>
      </c>
      <c r="AC1276" s="12" t="b">
        <f t="shared" si="491"/>
        <v>1</v>
      </c>
      <c r="AD1276" s="12" t="b">
        <f t="shared" si="492"/>
        <v>1</v>
      </c>
      <c r="AE1276" s="12" t="b">
        <f t="shared" si="493"/>
        <v>1</v>
      </c>
      <c r="AF1276" s="12" t="b">
        <f t="shared" si="494"/>
        <v>1</v>
      </c>
    </row>
    <row r="1277" spans="1:32" s="12" customFormat="1" ht="15.75" customHeight="1">
      <c r="A1277" s="285"/>
      <c r="B1277" s="182" t="s">
        <v>1228</v>
      </c>
      <c r="C1277" s="36" t="s">
        <v>15</v>
      </c>
      <c r="D1277" s="36" t="s">
        <v>69</v>
      </c>
      <c r="E1277" s="36" t="s">
        <v>72</v>
      </c>
      <c r="F1277" s="36" t="s">
        <v>1225</v>
      </c>
      <c r="G1277" s="239" t="s">
        <v>90</v>
      </c>
      <c r="H1277" s="240">
        <f t="shared" ref="H1277:J1278" si="508">H1278</f>
        <v>2742.88</v>
      </c>
      <c r="I1277" s="240">
        <f t="shared" si="508"/>
        <v>2382.5100000000002</v>
      </c>
      <c r="J1277" s="240">
        <f t="shared" si="508"/>
        <v>1628.15</v>
      </c>
      <c r="K1277" s="513">
        <v>2742.88</v>
      </c>
      <c r="L1277" s="513">
        <v>2382.5100000000002</v>
      </c>
      <c r="M1277" s="513">
        <v>1628.15</v>
      </c>
      <c r="N1277" s="513"/>
      <c r="O1277" s="60"/>
      <c r="P1277" s="60"/>
      <c r="Q1277" s="60"/>
      <c r="R1277" s="472">
        <f t="shared" ref="R1277:R1279" si="509">H1277-O1277</f>
        <v>2742.88</v>
      </c>
      <c r="S1277" s="472">
        <f t="shared" ref="S1277:S1279" si="510">I1277-P1277</f>
        <v>2382.5100000000002</v>
      </c>
      <c r="T1277" s="472">
        <f t="shared" ref="T1277:T1279" si="511">J1277-Q1277</f>
        <v>1628.15</v>
      </c>
      <c r="U1277" s="54"/>
      <c r="V1277" s="56"/>
      <c r="W1277" s="56"/>
      <c r="X1277" s="56"/>
      <c r="Y1277" s="56"/>
      <c r="Z1277" s="56"/>
    </row>
    <row r="1278" spans="1:32" s="12" customFormat="1" ht="15.75" customHeight="1">
      <c r="A1278" s="285"/>
      <c r="B1278" s="182" t="s">
        <v>1229</v>
      </c>
      <c r="C1278" s="36" t="s">
        <v>15</v>
      </c>
      <c r="D1278" s="36" t="s">
        <v>69</v>
      </c>
      <c r="E1278" s="36" t="s">
        <v>72</v>
      </c>
      <c r="F1278" s="36" t="s">
        <v>1226</v>
      </c>
      <c r="G1278" s="239" t="s">
        <v>90</v>
      </c>
      <c r="H1278" s="244">
        <f t="shared" si="508"/>
        <v>2742.88</v>
      </c>
      <c r="I1278" s="244">
        <f t="shared" si="508"/>
        <v>2382.5100000000002</v>
      </c>
      <c r="J1278" s="244">
        <f t="shared" si="508"/>
        <v>1628.15</v>
      </c>
      <c r="K1278" s="514">
        <v>2742.88</v>
      </c>
      <c r="L1278" s="514">
        <v>2382.5100000000002</v>
      </c>
      <c r="M1278" s="514">
        <v>1628.15</v>
      </c>
      <c r="N1278" s="514"/>
      <c r="O1278" s="60"/>
      <c r="P1278" s="60"/>
      <c r="Q1278" s="60"/>
      <c r="R1278" s="472">
        <f t="shared" si="509"/>
        <v>2742.88</v>
      </c>
      <c r="S1278" s="472">
        <f t="shared" si="510"/>
        <v>2382.5100000000002</v>
      </c>
      <c r="T1278" s="472">
        <f t="shared" si="511"/>
        <v>1628.15</v>
      </c>
      <c r="U1278" s="54"/>
      <c r="V1278" s="56"/>
      <c r="W1278" s="56"/>
      <c r="X1278" s="56"/>
      <c r="Y1278" s="56"/>
      <c r="Z1278" s="56"/>
    </row>
    <row r="1279" spans="1:32" s="12" customFormat="1" ht="15.75" customHeight="1">
      <c r="A1279" s="285"/>
      <c r="B1279" s="182" t="s">
        <v>145</v>
      </c>
      <c r="C1279" s="36" t="s">
        <v>15</v>
      </c>
      <c r="D1279" s="36" t="s">
        <v>69</v>
      </c>
      <c r="E1279" s="36" t="s">
        <v>72</v>
      </c>
      <c r="F1279" s="36" t="s">
        <v>1226</v>
      </c>
      <c r="G1279" s="239" t="s">
        <v>153</v>
      </c>
      <c r="H1279" s="240">
        <v>2742.88</v>
      </c>
      <c r="I1279" s="240">
        <v>2382.5100000000002</v>
      </c>
      <c r="J1279" s="240">
        <v>1628.15</v>
      </c>
      <c r="K1279" s="513">
        <v>2742.88</v>
      </c>
      <c r="L1279" s="513">
        <v>2382.5100000000002</v>
      </c>
      <c r="M1279" s="513">
        <v>1628.15</v>
      </c>
      <c r="N1279" s="513"/>
      <c r="O1279" s="60"/>
      <c r="P1279" s="60"/>
      <c r="Q1279" s="60"/>
      <c r="R1279" s="472">
        <f t="shared" si="509"/>
        <v>2742.88</v>
      </c>
      <c r="S1279" s="472">
        <f t="shared" si="510"/>
        <v>2382.5100000000002</v>
      </c>
      <c r="T1279" s="472">
        <f t="shared" si="511"/>
        <v>1628.15</v>
      </c>
      <c r="U1279" s="54"/>
      <c r="V1279" s="56"/>
      <c r="W1279" s="56"/>
      <c r="X1279" s="56"/>
      <c r="Y1279" s="56"/>
      <c r="Z1279" s="56"/>
    </row>
    <row r="1280" spans="1:32" s="12" customFormat="1" ht="15.75" customHeight="1">
      <c r="A1280" s="285"/>
      <c r="B1280" s="40" t="s">
        <v>221</v>
      </c>
      <c r="C1280" s="36" t="s">
        <v>15</v>
      </c>
      <c r="D1280" s="36" t="s">
        <v>69</v>
      </c>
      <c r="E1280" s="36" t="s">
        <v>72</v>
      </c>
      <c r="F1280" s="37" t="s">
        <v>501</v>
      </c>
      <c r="G1280" s="37" t="s">
        <v>90</v>
      </c>
      <c r="H1280" s="183">
        <f t="shared" ref="H1280:J1282" si="512">H1281</f>
        <v>100</v>
      </c>
      <c r="I1280" s="183">
        <f t="shared" si="512"/>
        <v>100</v>
      </c>
      <c r="J1280" s="183">
        <f t="shared" si="512"/>
        <v>100</v>
      </c>
      <c r="K1280" s="183">
        <v>100</v>
      </c>
      <c r="L1280" s="183">
        <v>100</v>
      </c>
      <c r="M1280" s="183">
        <v>100</v>
      </c>
      <c r="N1280" s="183"/>
      <c r="O1280" s="183">
        <v>100</v>
      </c>
      <c r="P1280" s="183">
        <v>100</v>
      </c>
      <c r="Q1280" s="183">
        <v>100</v>
      </c>
      <c r="R1280" s="472">
        <f t="shared" si="502"/>
        <v>0</v>
      </c>
      <c r="S1280" s="472">
        <f t="shared" si="503"/>
        <v>0</v>
      </c>
      <c r="T1280" s="472">
        <f t="shared" si="504"/>
        <v>0</v>
      </c>
      <c r="U1280" s="40" t="s">
        <v>221</v>
      </c>
      <c r="V1280" s="36" t="s">
        <v>15</v>
      </c>
      <c r="W1280" s="36" t="s">
        <v>69</v>
      </c>
      <c r="X1280" s="36" t="s">
        <v>72</v>
      </c>
      <c r="Y1280" s="37" t="s">
        <v>501</v>
      </c>
      <c r="Z1280" s="37" t="s">
        <v>90</v>
      </c>
      <c r="AA1280" s="12" t="b">
        <f t="shared" si="489"/>
        <v>1</v>
      </c>
      <c r="AB1280" s="12" t="b">
        <f t="shared" si="490"/>
        <v>1</v>
      </c>
      <c r="AC1280" s="12" t="b">
        <f t="shared" si="491"/>
        <v>1</v>
      </c>
      <c r="AD1280" s="12" t="b">
        <f t="shared" si="492"/>
        <v>1</v>
      </c>
      <c r="AE1280" s="12" t="b">
        <f t="shared" si="493"/>
        <v>1</v>
      </c>
      <c r="AF1280" s="12" t="b">
        <f t="shared" si="494"/>
        <v>1</v>
      </c>
    </row>
    <row r="1281" spans="1:32" s="12" customFormat="1" ht="15.75" customHeight="1">
      <c r="A1281" s="285"/>
      <c r="B1281" s="92" t="s">
        <v>200</v>
      </c>
      <c r="C1281" s="36" t="s">
        <v>15</v>
      </c>
      <c r="D1281" s="36" t="s">
        <v>69</v>
      </c>
      <c r="E1281" s="36" t="s">
        <v>72</v>
      </c>
      <c r="F1281" s="37" t="s">
        <v>505</v>
      </c>
      <c r="G1281" s="37" t="s">
        <v>90</v>
      </c>
      <c r="H1281" s="183">
        <f t="shared" si="512"/>
        <v>100</v>
      </c>
      <c r="I1281" s="183">
        <f t="shared" si="512"/>
        <v>100</v>
      </c>
      <c r="J1281" s="183">
        <f t="shared" si="512"/>
        <v>100</v>
      </c>
      <c r="K1281" s="183">
        <v>100</v>
      </c>
      <c r="L1281" s="183">
        <v>100</v>
      </c>
      <c r="M1281" s="183">
        <v>100</v>
      </c>
      <c r="N1281" s="183"/>
      <c r="O1281" s="183">
        <v>100</v>
      </c>
      <c r="P1281" s="183">
        <v>100</v>
      </c>
      <c r="Q1281" s="183">
        <v>100</v>
      </c>
      <c r="R1281" s="472">
        <f t="shared" si="502"/>
        <v>0</v>
      </c>
      <c r="S1281" s="472">
        <f t="shared" si="503"/>
        <v>0</v>
      </c>
      <c r="T1281" s="472">
        <f t="shared" si="504"/>
        <v>0</v>
      </c>
      <c r="U1281" s="92" t="s">
        <v>200</v>
      </c>
      <c r="V1281" s="36" t="s">
        <v>15</v>
      </c>
      <c r="W1281" s="36" t="s">
        <v>69</v>
      </c>
      <c r="X1281" s="36" t="s">
        <v>72</v>
      </c>
      <c r="Y1281" s="37" t="s">
        <v>505</v>
      </c>
      <c r="Z1281" s="37" t="s">
        <v>90</v>
      </c>
      <c r="AA1281" s="12" t="b">
        <f t="shared" si="489"/>
        <v>1</v>
      </c>
      <c r="AB1281" s="12" t="b">
        <f t="shared" si="490"/>
        <v>1</v>
      </c>
      <c r="AC1281" s="12" t="b">
        <f t="shared" si="491"/>
        <v>1</v>
      </c>
      <c r="AD1281" s="12" t="b">
        <f t="shared" si="492"/>
        <v>1</v>
      </c>
      <c r="AE1281" s="12" t="b">
        <f t="shared" si="493"/>
        <v>1</v>
      </c>
      <c r="AF1281" s="12" t="b">
        <f t="shared" si="494"/>
        <v>1</v>
      </c>
    </row>
    <row r="1282" spans="1:32" s="12" customFormat="1" ht="15.75" customHeight="1">
      <c r="A1282" s="285"/>
      <c r="B1282" s="40" t="s">
        <v>628</v>
      </c>
      <c r="C1282" s="36" t="s">
        <v>15</v>
      </c>
      <c r="D1282" s="36" t="s">
        <v>69</v>
      </c>
      <c r="E1282" s="36" t="s">
        <v>72</v>
      </c>
      <c r="F1282" s="37" t="s">
        <v>507</v>
      </c>
      <c r="G1282" s="37" t="s">
        <v>90</v>
      </c>
      <c r="H1282" s="183">
        <f t="shared" si="512"/>
        <v>100</v>
      </c>
      <c r="I1282" s="183">
        <f t="shared" si="512"/>
        <v>100</v>
      </c>
      <c r="J1282" s="183">
        <f t="shared" si="512"/>
        <v>100</v>
      </c>
      <c r="K1282" s="183">
        <v>100</v>
      </c>
      <c r="L1282" s="183">
        <v>100</v>
      </c>
      <c r="M1282" s="183">
        <v>100</v>
      </c>
      <c r="N1282" s="183"/>
      <c r="O1282" s="183">
        <v>100</v>
      </c>
      <c r="P1282" s="183">
        <v>100</v>
      </c>
      <c r="Q1282" s="183">
        <v>100</v>
      </c>
      <c r="R1282" s="472">
        <f t="shared" si="502"/>
        <v>0</v>
      </c>
      <c r="S1282" s="472">
        <f t="shared" si="503"/>
        <v>0</v>
      </c>
      <c r="T1282" s="472">
        <f t="shared" si="504"/>
        <v>0</v>
      </c>
      <c r="U1282" s="40" t="s">
        <v>628</v>
      </c>
      <c r="V1282" s="36" t="s">
        <v>15</v>
      </c>
      <c r="W1282" s="36" t="s">
        <v>69</v>
      </c>
      <c r="X1282" s="36" t="s">
        <v>72</v>
      </c>
      <c r="Y1282" s="37" t="s">
        <v>507</v>
      </c>
      <c r="Z1282" s="37" t="s">
        <v>90</v>
      </c>
      <c r="AA1282" s="12" t="b">
        <f t="shared" si="489"/>
        <v>1</v>
      </c>
      <c r="AB1282" s="12" t="b">
        <f t="shared" si="490"/>
        <v>1</v>
      </c>
      <c r="AC1282" s="12" t="b">
        <f t="shared" si="491"/>
        <v>1</v>
      </c>
      <c r="AD1282" s="12" t="b">
        <f t="shared" si="492"/>
        <v>1</v>
      </c>
      <c r="AE1282" s="12" t="b">
        <f t="shared" si="493"/>
        <v>1</v>
      </c>
      <c r="AF1282" s="12" t="b">
        <f t="shared" si="494"/>
        <v>1</v>
      </c>
    </row>
    <row r="1283" spans="1:32" s="12" customFormat="1" ht="15.75" customHeight="1">
      <c r="A1283" s="285"/>
      <c r="B1283" s="182" t="s">
        <v>145</v>
      </c>
      <c r="C1283" s="36" t="s">
        <v>15</v>
      </c>
      <c r="D1283" s="36" t="s">
        <v>69</v>
      </c>
      <c r="E1283" s="36" t="s">
        <v>72</v>
      </c>
      <c r="F1283" s="37" t="s">
        <v>507</v>
      </c>
      <c r="G1283" s="37" t="s">
        <v>153</v>
      </c>
      <c r="H1283" s="183">
        <v>100</v>
      </c>
      <c r="I1283" s="183">
        <v>100</v>
      </c>
      <c r="J1283" s="183">
        <v>100</v>
      </c>
      <c r="K1283" s="183">
        <v>100</v>
      </c>
      <c r="L1283" s="183">
        <v>100</v>
      </c>
      <c r="M1283" s="183">
        <v>100</v>
      </c>
      <c r="N1283" s="183"/>
      <c r="O1283" s="183">
        <v>100</v>
      </c>
      <c r="P1283" s="183">
        <v>100</v>
      </c>
      <c r="Q1283" s="183">
        <v>100</v>
      </c>
      <c r="R1283" s="472">
        <f t="shared" si="502"/>
        <v>0</v>
      </c>
      <c r="S1283" s="472">
        <f t="shared" si="503"/>
        <v>0</v>
      </c>
      <c r="T1283" s="472">
        <f t="shared" si="504"/>
        <v>0</v>
      </c>
      <c r="U1283" s="182" t="s">
        <v>145</v>
      </c>
      <c r="V1283" s="36" t="s">
        <v>15</v>
      </c>
      <c r="W1283" s="36" t="s">
        <v>69</v>
      </c>
      <c r="X1283" s="36" t="s">
        <v>72</v>
      </c>
      <c r="Y1283" s="37" t="s">
        <v>507</v>
      </c>
      <c r="Z1283" s="37" t="s">
        <v>153</v>
      </c>
      <c r="AA1283" s="12" t="b">
        <f t="shared" si="489"/>
        <v>1</v>
      </c>
      <c r="AB1283" s="12" t="b">
        <f t="shared" si="490"/>
        <v>1</v>
      </c>
      <c r="AC1283" s="12" t="b">
        <f t="shared" si="491"/>
        <v>1</v>
      </c>
      <c r="AD1283" s="12" t="b">
        <f t="shared" si="492"/>
        <v>1</v>
      </c>
      <c r="AE1283" s="12" t="b">
        <f t="shared" si="493"/>
        <v>1</v>
      </c>
      <c r="AF1283" s="12" t="b">
        <f t="shared" si="494"/>
        <v>1</v>
      </c>
    </row>
    <row r="1284" spans="1:32" s="12" customFormat="1" ht="15.75" customHeight="1">
      <c r="A1284" s="285"/>
      <c r="B1284" s="28" t="s">
        <v>6</v>
      </c>
      <c r="C1284" s="29" t="s">
        <v>15</v>
      </c>
      <c r="D1284" s="30" t="s">
        <v>7</v>
      </c>
      <c r="E1284" s="30" t="s">
        <v>83</v>
      </c>
      <c r="F1284" s="30" t="s">
        <v>223</v>
      </c>
      <c r="G1284" s="30" t="s">
        <v>90</v>
      </c>
      <c r="H1284" s="31">
        <f>H1285</f>
        <v>3780</v>
      </c>
      <c r="I1284" s="31"/>
      <c r="J1284" s="31"/>
      <c r="K1284" s="31">
        <v>3780</v>
      </c>
      <c r="L1284" s="31"/>
      <c r="M1284" s="31"/>
      <c r="N1284" s="31"/>
      <c r="O1284" s="183"/>
      <c r="P1284" s="183"/>
      <c r="Q1284" s="183"/>
      <c r="R1284" s="472"/>
      <c r="S1284" s="472"/>
      <c r="T1284" s="472"/>
      <c r="U1284" s="182"/>
      <c r="V1284" s="36"/>
      <c r="W1284" s="36"/>
      <c r="X1284" s="36"/>
      <c r="Y1284" s="37"/>
      <c r="Z1284" s="37"/>
    </row>
    <row r="1285" spans="1:32" s="12" customFormat="1" ht="15.75" customHeight="1">
      <c r="A1285" s="285"/>
      <c r="B1285" s="32" t="s">
        <v>8</v>
      </c>
      <c r="C1285" s="33" t="s">
        <v>15</v>
      </c>
      <c r="D1285" s="34" t="s">
        <v>7</v>
      </c>
      <c r="E1285" s="34" t="s">
        <v>98</v>
      </c>
      <c r="F1285" s="34" t="s">
        <v>223</v>
      </c>
      <c r="G1285" s="34" t="s">
        <v>90</v>
      </c>
      <c r="H1285" s="35">
        <f>H1286</f>
        <v>3780</v>
      </c>
      <c r="I1285" s="35"/>
      <c r="J1285" s="35"/>
      <c r="K1285" s="35">
        <v>3780</v>
      </c>
      <c r="L1285" s="35"/>
      <c r="M1285" s="35"/>
      <c r="N1285" s="35"/>
      <c r="O1285" s="183"/>
      <c r="P1285" s="183"/>
      <c r="Q1285" s="183"/>
      <c r="R1285" s="472"/>
      <c r="S1285" s="472"/>
      <c r="T1285" s="472"/>
      <c r="U1285" s="182"/>
      <c r="V1285" s="36"/>
      <c r="W1285" s="36"/>
      <c r="X1285" s="36"/>
      <c r="Y1285" s="37"/>
      <c r="Z1285" s="37"/>
    </row>
    <row r="1286" spans="1:32" s="12" customFormat="1" ht="15.75" customHeight="1">
      <c r="A1286" s="285"/>
      <c r="B1286" s="182" t="s">
        <v>221</v>
      </c>
      <c r="C1286" s="36" t="s">
        <v>15</v>
      </c>
      <c r="D1286" s="36" t="s">
        <v>7</v>
      </c>
      <c r="E1286" s="36" t="s">
        <v>98</v>
      </c>
      <c r="F1286" s="37" t="s">
        <v>501</v>
      </c>
      <c r="G1286" s="37" t="s">
        <v>90</v>
      </c>
      <c r="H1286" s="183">
        <f>H1287</f>
        <v>3780</v>
      </c>
      <c r="I1286" s="183"/>
      <c r="J1286" s="183"/>
      <c r="K1286" s="183">
        <v>3780</v>
      </c>
      <c r="L1286" s="183"/>
      <c r="M1286" s="183"/>
      <c r="N1286" s="183"/>
      <c r="O1286" s="183"/>
      <c r="P1286" s="183"/>
      <c r="Q1286" s="183"/>
      <c r="R1286" s="472"/>
      <c r="S1286" s="472"/>
      <c r="T1286" s="472"/>
      <c r="U1286" s="182"/>
      <c r="V1286" s="36"/>
      <c r="W1286" s="36"/>
      <c r="X1286" s="36"/>
      <c r="Y1286" s="37"/>
      <c r="Z1286" s="37"/>
    </row>
    <row r="1287" spans="1:32" s="12" customFormat="1" ht="15.75" customHeight="1">
      <c r="A1287" s="285"/>
      <c r="B1287" s="182" t="s">
        <v>200</v>
      </c>
      <c r="C1287" s="36" t="s">
        <v>15</v>
      </c>
      <c r="D1287" s="36" t="s">
        <v>7</v>
      </c>
      <c r="E1287" s="36" t="s">
        <v>98</v>
      </c>
      <c r="F1287" s="37" t="s">
        <v>505</v>
      </c>
      <c r="G1287" s="37" t="s">
        <v>90</v>
      </c>
      <c r="H1287" s="183">
        <f>H1288</f>
        <v>3780</v>
      </c>
      <c r="I1287" s="183"/>
      <c r="J1287" s="183"/>
      <c r="K1287" s="183">
        <v>3780</v>
      </c>
      <c r="L1287" s="183"/>
      <c r="M1287" s="183"/>
      <c r="N1287" s="183"/>
      <c r="O1287" s="183"/>
      <c r="P1287" s="183"/>
      <c r="Q1287" s="183"/>
      <c r="R1287" s="472"/>
      <c r="S1287" s="472"/>
      <c r="T1287" s="472"/>
      <c r="U1287" s="182"/>
      <c r="V1287" s="36"/>
      <c r="W1287" s="36"/>
      <c r="X1287" s="36"/>
      <c r="Y1287" s="37"/>
      <c r="Z1287" s="37"/>
    </row>
    <row r="1288" spans="1:32" s="12" customFormat="1" ht="15.75" customHeight="1">
      <c r="A1288" s="285"/>
      <c r="B1288" s="182" t="s">
        <v>1256</v>
      </c>
      <c r="C1288" s="36" t="s">
        <v>15</v>
      </c>
      <c r="D1288" s="36" t="s">
        <v>7</v>
      </c>
      <c r="E1288" s="36" t="s">
        <v>98</v>
      </c>
      <c r="F1288" s="37" t="s">
        <v>1257</v>
      </c>
      <c r="G1288" s="37" t="s">
        <v>90</v>
      </c>
      <c r="H1288" s="183">
        <f>H1289</f>
        <v>3780</v>
      </c>
      <c r="I1288" s="183"/>
      <c r="J1288" s="183"/>
      <c r="K1288" s="183">
        <v>3780</v>
      </c>
      <c r="L1288" s="183"/>
      <c r="M1288" s="183"/>
      <c r="N1288" s="183"/>
      <c r="O1288" s="183"/>
      <c r="P1288" s="183"/>
      <c r="Q1288" s="183"/>
      <c r="R1288" s="472"/>
      <c r="S1288" s="472"/>
      <c r="T1288" s="472"/>
      <c r="U1288" s="182"/>
      <c r="V1288" s="36"/>
      <c r="W1288" s="36"/>
      <c r="X1288" s="36"/>
      <c r="Y1288" s="37"/>
      <c r="Z1288" s="37"/>
    </row>
    <row r="1289" spans="1:32" s="12" customFormat="1" ht="15.75" customHeight="1">
      <c r="A1289" s="285"/>
      <c r="B1289" s="182" t="s">
        <v>145</v>
      </c>
      <c r="C1289" s="36" t="s">
        <v>15</v>
      </c>
      <c r="D1289" s="36" t="s">
        <v>7</v>
      </c>
      <c r="E1289" s="36" t="s">
        <v>98</v>
      </c>
      <c r="F1289" s="37" t="s">
        <v>1257</v>
      </c>
      <c r="G1289" s="37" t="s">
        <v>153</v>
      </c>
      <c r="H1289" s="183">
        <v>3780</v>
      </c>
      <c r="I1289" s="183"/>
      <c r="J1289" s="183"/>
      <c r="K1289" s="183">
        <v>3780</v>
      </c>
      <c r="L1289" s="183"/>
      <c r="M1289" s="183"/>
      <c r="N1289" s="183"/>
      <c r="O1289" s="183"/>
      <c r="P1289" s="183"/>
      <c r="Q1289" s="183"/>
      <c r="R1289" s="472"/>
      <c r="S1289" s="472"/>
      <c r="T1289" s="472"/>
      <c r="U1289" s="182"/>
      <c r="V1289" s="36"/>
      <c r="W1289" s="36"/>
      <c r="X1289" s="36"/>
      <c r="Y1289" s="37"/>
      <c r="Z1289" s="37"/>
    </row>
    <row r="1290" spans="1:32" s="12" customFormat="1" ht="15.75" customHeight="1">
      <c r="A1290" s="285"/>
      <c r="B1290" s="28" t="s">
        <v>103</v>
      </c>
      <c r="C1290" s="29" t="s">
        <v>15</v>
      </c>
      <c r="D1290" s="30" t="s">
        <v>104</v>
      </c>
      <c r="E1290" s="30" t="s">
        <v>83</v>
      </c>
      <c r="F1290" s="30" t="s">
        <v>223</v>
      </c>
      <c r="G1290" s="30" t="s">
        <v>90</v>
      </c>
      <c r="H1290" s="31">
        <f>H1291+H1303</f>
        <v>656185.75</v>
      </c>
      <c r="I1290" s="31">
        <f>I1291+I1303</f>
        <v>2085150.08</v>
      </c>
      <c r="J1290" s="31">
        <f>J1291+J1303</f>
        <v>0</v>
      </c>
      <c r="K1290" s="31">
        <v>656185.75</v>
      </c>
      <c r="L1290" s="31">
        <v>2085150.08</v>
      </c>
      <c r="M1290" s="31">
        <v>0</v>
      </c>
      <c r="N1290" s="31"/>
      <c r="O1290" s="31">
        <v>656185.75</v>
      </c>
      <c r="P1290" s="31">
        <v>2085150.08</v>
      </c>
      <c r="Q1290" s="31">
        <v>0</v>
      </c>
      <c r="R1290" s="472">
        <f t="shared" si="502"/>
        <v>0</v>
      </c>
      <c r="S1290" s="472">
        <f t="shared" si="503"/>
        <v>0</v>
      </c>
      <c r="T1290" s="472">
        <f t="shared" si="504"/>
        <v>0</v>
      </c>
      <c r="U1290" s="28" t="s">
        <v>103</v>
      </c>
      <c r="V1290" s="29" t="s">
        <v>15</v>
      </c>
      <c r="W1290" s="30" t="s">
        <v>104</v>
      </c>
      <c r="X1290" s="30" t="s">
        <v>83</v>
      </c>
      <c r="Y1290" s="30" t="s">
        <v>223</v>
      </c>
      <c r="Z1290" s="30" t="s">
        <v>90</v>
      </c>
      <c r="AA1290" s="12" t="b">
        <f t="shared" si="489"/>
        <v>1</v>
      </c>
      <c r="AB1290" s="12" t="b">
        <f t="shared" si="490"/>
        <v>1</v>
      </c>
      <c r="AC1290" s="12" t="b">
        <f t="shared" si="491"/>
        <v>1</v>
      </c>
      <c r="AD1290" s="12" t="b">
        <f t="shared" si="492"/>
        <v>1</v>
      </c>
      <c r="AE1290" s="12" t="b">
        <f t="shared" si="493"/>
        <v>1</v>
      </c>
      <c r="AF1290" s="12" t="b">
        <f t="shared" si="494"/>
        <v>1</v>
      </c>
    </row>
    <row r="1291" spans="1:32" s="12" customFormat="1" ht="15.75" customHeight="1">
      <c r="A1291" s="285"/>
      <c r="B1291" s="32" t="s">
        <v>105</v>
      </c>
      <c r="C1291" s="33" t="s">
        <v>15</v>
      </c>
      <c r="D1291" s="34" t="s">
        <v>104</v>
      </c>
      <c r="E1291" s="34" t="s">
        <v>98</v>
      </c>
      <c r="F1291" s="34" t="s">
        <v>223</v>
      </c>
      <c r="G1291" s="34" t="s">
        <v>90</v>
      </c>
      <c r="H1291" s="35">
        <f t="shared" ref="H1291:J1293" si="513">H1292</f>
        <v>275840.38</v>
      </c>
      <c r="I1291" s="35">
        <f t="shared" si="513"/>
        <v>0</v>
      </c>
      <c r="J1291" s="35">
        <f t="shared" si="513"/>
        <v>0</v>
      </c>
      <c r="K1291" s="35">
        <v>275840.38</v>
      </c>
      <c r="L1291" s="35">
        <v>0</v>
      </c>
      <c r="M1291" s="35">
        <v>0</v>
      </c>
      <c r="N1291" s="35"/>
      <c r="O1291" s="35">
        <v>275840.38</v>
      </c>
      <c r="P1291" s="35">
        <v>0</v>
      </c>
      <c r="Q1291" s="35">
        <v>0</v>
      </c>
      <c r="R1291" s="472">
        <f t="shared" si="502"/>
        <v>0</v>
      </c>
      <c r="S1291" s="472">
        <f t="shared" si="503"/>
        <v>0</v>
      </c>
      <c r="T1291" s="472">
        <f t="shared" si="504"/>
        <v>0</v>
      </c>
      <c r="U1291" s="32" t="s">
        <v>105</v>
      </c>
      <c r="V1291" s="33" t="s">
        <v>15</v>
      </c>
      <c r="W1291" s="34" t="s">
        <v>104</v>
      </c>
      <c r="X1291" s="34" t="s">
        <v>98</v>
      </c>
      <c r="Y1291" s="34" t="s">
        <v>223</v>
      </c>
      <c r="Z1291" s="34" t="s">
        <v>90</v>
      </c>
      <c r="AA1291" s="12" t="b">
        <f t="shared" si="489"/>
        <v>1</v>
      </c>
      <c r="AB1291" s="12" t="b">
        <f t="shared" si="490"/>
        <v>1</v>
      </c>
      <c r="AC1291" s="12" t="b">
        <f t="shared" si="491"/>
        <v>1</v>
      </c>
      <c r="AD1291" s="12" t="b">
        <f t="shared" si="492"/>
        <v>1</v>
      </c>
      <c r="AE1291" s="12" t="b">
        <f t="shared" si="493"/>
        <v>1</v>
      </c>
      <c r="AF1291" s="12" t="b">
        <f t="shared" si="494"/>
        <v>1</v>
      </c>
    </row>
    <row r="1292" spans="1:32" s="12" customFormat="1" ht="15.75" customHeight="1">
      <c r="A1292" s="285"/>
      <c r="B1292" s="23" t="s">
        <v>647</v>
      </c>
      <c r="C1292" s="36" t="s">
        <v>15</v>
      </c>
      <c r="D1292" s="37" t="s">
        <v>104</v>
      </c>
      <c r="E1292" s="37" t="s">
        <v>98</v>
      </c>
      <c r="F1292" s="37" t="s">
        <v>316</v>
      </c>
      <c r="G1292" s="37" t="s">
        <v>90</v>
      </c>
      <c r="H1292" s="183">
        <f t="shared" si="513"/>
        <v>275840.38</v>
      </c>
      <c r="I1292" s="183">
        <f t="shared" si="513"/>
        <v>0</v>
      </c>
      <c r="J1292" s="183">
        <f t="shared" si="513"/>
        <v>0</v>
      </c>
      <c r="K1292" s="183">
        <v>275840.38</v>
      </c>
      <c r="L1292" s="183">
        <v>0</v>
      </c>
      <c r="M1292" s="183">
        <v>0</v>
      </c>
      <c r="N1292" s="183"/>
      <c r="O1292" s="183">
        <v>275840.38</v>
      </c>
      <c r="P1292" s="183">
        <v>0</v>
      </c>
      <c r="Q1292" s="183">
        <v>0</v>
      </c>
      <c r="R1292" s="472">
        <f t="shared" si="502"/>
        <v>0</v>
      </c>
      <c r="S1292" s="472">
        <f t="shared" si="503"/>
        <v>0</v>
      </c>
      <c r="T1292" s="472">
        <f t="shared" si="504"/>
        <v>0</v>
      </c>
      <c r="U1292" s="23" t="s">
        <v>647</v>
      </c>
      <c r="V1292" s="36" t="s">
        <v>15</v>
      </c>
      <c r="W1292" s="37" t="s">
        <v>104</v>
      </c>
      <c r="X1292" s="37" t="s">
        <v>98</v>
      </c>
      <c r="Y1292" s="37" t="s">
        <v>316</v>
      </c>
      <c r="Z1292" s="37" t="s">
        <v>90</v>
      </c>
      <c r="AA1292" s="12" t="b">
        <f t="shared" si="489"/>
        <v>1</v>
      </c>
      <c r="AB1292" s="12" t="b">
        <f t="shared" si="490"/>
        <v>1</v>
      </c>
      <c r="AC1292" s="12" t="b">
        <f t="shared" si="491"/>
        <v>1</v>
      </c>
      <c r="AD1292" s="12" t="b">
        <f t="shared" si="492"/>
        <v>1</v>
      </c>
      <c r="AE1292" s="12" t="b">
        <f t="shared" si="493"/>
        <v>1</v>
      </c>
      <c r="AF1292" s="12" t="b">
        <f t="shared" si="494"/>
        <v>1</v>
      </c>
    </row>
    <row r="1293" spans="1:32" s="12" customFormat="1" ht="15.75" customHeight="1">
      <c r="A1293" s="285"/>
      <c r="B1293" s="182" t="s">
        <v>648</v>
      </c>
      <c r="C1293" s="36" t="s">
        <v>15</v>
      </c>
      <c r="D1293" s="37" t="s">
        <v>104</v>
      </c>
      <c r="E1293" s="37" t="s">
        <v>98</v>
      </c>
      <c r="F1293" s="37" t="s">
        <v>493</v>
      </c>
      <c r="G1293" s="37" t="s">
        <v>90</v>
      </c>
      <c r="H1293" s="183">
        <f>H1294+H1297</f>
        <v>275840.38</v>
      </c>
      <c r="I1293" s="183">
        <f t="shared" si="513"/>
        <v>0</v>
      </c>
      <c r="J1293" s="183">
        <f t="shared" si="513"/>
        <v>0</v>
      </c>
      <c r="K1293" s="183">
        <v>275840.38</v>
      </c>
      <c r="L1293" s="183">
        <v>0</v>
      </c>
      <c r="M1293" s="183">
        <v>0</v>
      </c>
      <c r="N1293" s="183"/>
      <c r="O1293" s="183">
        <v>275840.38</v>
      </c>
      <c r="P1293" s="183">
        <v>0</v>
      </c>
      <c r="Q1293" s="183">
        <v>0</v>
      </c>
      <c r="R1293" s="472">
        <f t="shared" si="502"/>
        <v>0</v>
      </c>
      <c r="S1293" s="472">
        <f t="shared" si="503"/>
        <v>0</v>
      </c>
      <c r="T1293" s="472">
        <f t="shared" si="504"/>
        <v>0</v>
      </c>
      <c r="U1293" s="182" t="s">
        <v>648</v>
      </c>
      <c r="V1293" s="36" t="s">
        <v>15</v>
      </c>
      <c r="W1293" s="37" t="s">
        <v>104</v>
      </c>
      <c r="X1293" s="37" t="s">
        <v>98</v>
      </c>
      <c r="Y1293" s="37" t="s">
        <v>493</v>
      </c>
      <c r="Z1293" s="37" t="s">
        <v>90</v>
      </c>
      <c r="AA1293" s="12" t="b">
        <f t="shared" si="489"/>
        <v>1</v>
      </c>
      <c r="AB1293" s="12" t="b">
        <f t="shared" si="490"/>
        <v>1</v>
      </c>
      <c r="AC1293" s="12" t="b">
        <f t="shared" si="491"/>
        <v>1</v>
      </c>
      <c r="AD1293" s="12" t="b">
        <f t="shared" si="492"/>
        <v>1</v>
      </c>
      <c r="AE1293" s="12" t="b">
        <f t="shared" si="493"/>
        <v>1</v>
      </c>
      <c r="AF1293" s="12" t="b">
        <f t="shared" si="494"/>
        <v>1</v>
      </c>
    </row>
    <row r="1294" spans="1:32" s="12" customFormat="1" ht="15.75" customHeight="1">
      <c r="A1294" s="383"/>
      <c r="B1294" s="182" t="s">
        <v>529</v>
      </c>
      <c r="C1294" s="36" t="s">
        <v>15</v>
      </c>
      <c r="D1294" s="37" t="s">
        <v>104</v>
      </c>
      <c r="E1294" s="37" t="s">
        <v>98</v>
      </c>
      <c r="F1294" s="37" t="s">
        <v>494</v>
      </c>
      <c r="G1294" s="37" t="s">
        <v>90</v>
      </c>
      <c r="H1294" s="183">
        <f>H1295</f>
        <v>8000</v>
      </c>
      <c r="I1294" s="183">
        <f>I1295+I1298</f>
        <v>0</v>
      </c>
      <c r="J1294" s="183">
        <f>J1295+J1298</f>
        <v>0</v>
      </c>
      <c r="K1294" s="183">
        <v>8000</v>
      </c>
      <c r="L1294" s="183">
        <v>0</v>
      </c>
      <c r="M1294" s="183">
        <v>0</v>
      </c>
      <c r="N1294" s="183"/>
      <c r="O1294" s="183">
        <v>275840.38</v>
      </c>
      <c r="P1294" s="183">
        <v>0</v>
      </c>
      <c r="Q1294" s="183">
        <v>0</v>
      </c>
      <c r="R1294" s="472">
        <f t="shared" si="502"/>
        <v>-267840.38</v>
      </c>
      <c r="S1294" s="472">
        <f t="shared" si="503"/>
        <v>0</v>
      </c>
      <c r="T1294" s="472">
        <f t="shared" si="504"/>
        <v>0</v>
      </c>
      <c r="U1294" s="182" t="s">
        <v>529</v>
      </c>
      <c r="V1294" s="36" t="s">
        <v>15</v>
      </c>
      <c r="W1294" s="37" t="s">
        <v>104</v>
      </c>
      <c r="X1294" s="37" t="s">
        <v>98</v>
      </c>
      <c r="Y1294" s="37" t="s">
        <v>494</v>
      </c>
      <c r="Z1294" s="37" t="s">
        <v>90</v>
      </c>
      <c r="AA1294" s="12" t="b">
        <f t="shared" ref="AA1294:AA1332" si="514">B1294=U1294</f>
        <v>1</v>
      </c>
      <c r="AB1294" s="12" t="b">
        <f t="shared" ref="AB1294:AB1332" si="515">C1294=V1294</f>
        <v>1</v>
      </c>
      <c r="AC1294" s="12" t="b">
        <f t="shared" ref="AC1294:AC1332" si="516">D1294=W1294</f>
        <v>1</v>
      </c>
      <c r="AD1294" s="12" t="b">
        <f t="shared" ref="AD1294:AD1332" si="517">E1294=X1294</f>
        <v>1</v>
      </c>
      <c r="AE1294" s="12" t="b">
        <f t="shared" ref="AE1294:AE1332" si="518">F1294=Y1294</f>
        <v>1</v>
      </c>
      <c r="AF1294" s="12" t="b">
        <f t="shared" ref="AF1294:AF1332" si="519">G1294=Z1294</f>
        <v>1</v>
      </c>
    </row>
    <row r="1295" spans="1:32" s="12" customFormat="1" ht="15.75" customHeight="1">
      <c r="A1295" s="383"/>
      <c r="B1295" s="182" t="s">
        <v>184</v>
      </c>
      <c r="C1295" s="36" t="s">
        <v>15</v>
      </c>
      <c r="D1295" s="37" t="s">
        <v>104</v>
      </c>
      <c r="E1295" s="37" t="s">
        <v>98</v>
      </c>
      <c r="F1295" s="37" t="s">
        <v>495</v>
      </c>
      <c r="G1295" s="37" t="s">
        <v>90</v>
      </c>
      <c r="H1295" s="183">
        <f>H1296</f>
        <v>8000</v>
      </c>
      <c r="I1295" s="183">
        <f>I1296</f>
        <v>0</v>
      </c>
      <c r="J1295" s="183">
        <f>J1296</f>
        <v>0</v>
      </c>
      <c r="K1295" s="183">
        <v>8000</v>
      </c>
      <c r="L1295" s="183">
        <v>0</v>
      </c>
      <c r="M1295" s="183">
        <v>0</v>
      </c>
      <c r="N1295" s="183"/>
      <c r="O1295" s="183">
        <v>8000</v>
      </c>
      <c r="P1295" s="183">
        <v>0</v>
      </c>
      <c r="Q1295" s="183">
        <v>0</v>
      </c>
      <c r="R1295" s="472">
        <f t="shared" si="502"/>
        <v>0</v>
      </c>
      <c r="S1295" s="472">
        <f t="shared" si="503"/>
        <v>0</v>
      </c>
      <c r="T1295" s="472">
        <f t="shared" si="504"/>
        <v>0</v>
      </c>
      <c r="U1295" s="182" t="s">
        <v>184</v>
      </c>
      <c r="V1295" s="36" t="s">
        <v>15</v>
      </c>
      <c r="W1295" s="37" t="s">
        <v>104</v>
      </c>
      <c r="X1295" s="37" t="s">
        <v>98</v>
      </c>
      <c r="Y1295" s="37" t="s">
        <v>495</v>
      </c>
      <c r="Z1295" s="37" t="s">
        <v>90</v>
      </c>
      <c r="AA1295" s="12" t="b">
        <f t="shared" si="514"/>
        <v>1</v>
      </c>
      <c r="AB1295" s="12" t="b">
        <f t="shared" si="515"/>
        <v>1</v>
      </c>
      <c r="AC1295" s="12" t="b">
        <f t="shared" si="516"/>
        <v>1</v>
      </c>
      <c r="AD1295" s="12" t="b">
        <f t="shared" si="517"/>
        <v>1</v>
      </c>
      <c r="AE1295" s="12" t="b">
        <f t="shared" si="518"/>
        <v>1</v>
      </c>
      <c r="AF1295" s="12" t="b">
        <f t="shared" si="519"/>
        <v>1</v>
      </c>
    </row>
    <row r="1296" spans="1:32" s="12" customFormat="1" ht="15.75" customHeight="1">
      <c r="A1296" s="383"/>
      <c r="B1296" s="114" t="s">
        <v>20</v>
      </c>
      <c r="C1296" s="111" t="s">
        <v>15</v>
      </c>
      <c r="D1296" s="112" t="s">
        <v>104</v>
      </c>
      <c r="E1296" s="112" t="s">
        <v>98</v>
      </c>
      <c r="F1296" s="112" t="s">
        <v>495</v>
      </c>
      <c r="G1296" s="112" t="s">
        <v>141</v>
      </c>
      <c r="H1296" s="113">
        <v>8000</v>
      </c>
      <c r="I1296" s="113">
        <v>0</v>
      </c>
      <c r="J1296" s="113">
        <v>0</v>
      </c>
      <c r="K1296" s="113">
        <v>8000</v>
      </c>
      <c r="L1296" s="113">
        <v>0</v>
      </c>
      <c r="M1296" s="113">
        <v>0</v>
      </c>
      <c r="N1296" s="113"/>
      <c r="O1296" s="113">
        <v>8000</v>
      </c>
      <c r="P1296" s="113">
        <v>0</v>
      </c>
      <c r="Q1296" s="113">
        <v>0</v>
      </c>
      <c r="R1296" s="472">
        <f t="shared" si="502"/>
        <v>0</v>
      </c>
      <c r="S1296" s="472">
        <f t="shared" si="503"/>
        <v>0</v>
      </c>
      <c r="T1296" s="472">
        <f t="shared" si="504"/>
        <v>0</v>
      </c>
      <c r="U1296" s="114" t="s">
        <v>20</v>
      </c>
      <c r="V1296" s="111" t="s">
        <v>15</v>
      </c>
      <c r="W1296" s="112" t="s">
        <v>104</v>
      </c>
      <c r="X1296" s="112" t="s">
        <v>98</v>
      </c>
      <c r="Y1296" s="112" t="s">
        <v>495</v>
      </c>
      <c r="Z1296" s="112" t="s">
        <v>141</v>
      </c>
      <c r="AA1296" s="12" t="b">
        <f t="shared" si="514"/>
        <v>1</v>
      </c>
      <c r="AB1296" s="12" t="b">
        <f t="shared" si="515"/>
        <v>1</v>
      </c>
      <c r="AC1296" s="12" t="b">
        <f t="shared" si="516"/>
        <v>1</v>
      </c>
      <c r="AD1296" s="12" t="b">
        <f t="shared" si="517"/>
        <v>1</v>
      </c>
      <c r="AE1296" s="12" t="b">
        <f t="shared" si="518"/>
        <v>1</v>
      </c>
      <c r="AF1296" s="12" t="b">
        <f t="shared" si="519"/>
        <v>1</v>
      </c>
    </row>
    <row r="1297" spans="1:32" s="12" customFormat="1" ht="15.75" customHeight="1">
      <c r="A1297" s="383"/>
      <c r="B1297" s="182" t="s">
        <v>1264</v>
      </c>
      <c r="C1297" s="36" t="s">
        <v>15</v>
      </c>
      <c r="D1297" s="37" t="s">
        <v>104</v>
      </c>
      <c r="E1297" s="37" t="s">
        <v>98</v>
      </c>
      <c r="F1297" s="37" t="s">
        <v>1258</v>
      </c>
      <c r="G1297" s="37" t="s">
        <v>90</v>
      </c>
      <c r="H1297" s="183">
        <f>H1298</f>
        <v>267840.38</v>
      </c>
      <c r="I1297" s="183">
        <f t="shared" ref="I1297:J1297" si="520">I1298</f>
        <v>0</v>
      </c>
      <c r="J1297" s="183">
        <f t="shared" si="520"/>
        <v>0</v>
      </c>
      <c r="K1297" s="518">
        <v>267840.38</v>
      </c>
      <c r="L1297" s="518">
        <v>0</v>
      </c>
      <c r="M1297" s="518">
        <v>0</v>
      </c>
      <c r="N1297" s="518"/>
      <c r="O1297" s="113"/>
      <c r="P1297" s="113"/>
      <c r="Q1297" s="113"/>
      <c r="R1297" s="472"/>
      <c r="S1297" s="472"/>
      <c r="T1297" s="472"/>
      <c r="U1297" s="114"/>
      <c r="V1297" s="111"/>
      <c r="W1297" s="112"/>
      <c r="X1297" s="112"/>
      <c r="Y1297" s="112"/>
      <c r="Z1297" s="112"/>
    </row>
    <row r="1298" spans="1:32" s="12" customFormat="1" ht="15.75" customHeight="1">
      <c r="A1298" s="383"/>
      <c r="B1298" s="182" t="s">
        <v>1069</v>
      </c>
      <c r="C1298" s="36" t="s">
        <v>15</v>
      </c>
      <c r="D1298" s="37" t="s">
        <v>104</v>
      </c>
      <c r="E1298" s="37" t="s">
        <v>98</v>
      </c>
      <c r="F1298" s="37" t="s">
        <v>1048</v>
      </c>
      <c r="G1298" s="37" t="s">
        <v>90</v>
      </c>
      <c r="H1298" s="183">
        <f>H1299+H1301</f>
        <v>267840.38</v>
      </c>
      <c r="I1298" s="183">
        <f>I1299+I1301</f>
        <v>0</v>
      </c>
      <c r="J1298" s="183">
        <f>J1299+J1301</f>
        <v>0</v>
      </c>
      <c r="K1298" s="183">
        <v>267840.38</v>
      </c>
      <c r="L1298" s="183">
        <v>0</v>
      </c>
      <c r="M1298" s="183">
        <v>0</v>
      </c>
      <c r="N1298" s="183"/>
      <c r="O1298" s="183">
        <v>267840.38</v>
      </c>
      <c r="P1298" s="183">
        <v>0</v>
      </c>
      <c r="Q1298" s="183">
        <v>0</v>
      </c>
      <c r="R1298" s="472">
        <f t="shared" si="502"/>
        <v>0</v>
      </c>
      <c r="S1298" s="472">
        <f t="shared" si="503"/>
        <v>0</v>
      </c>
      <c r="T1298" s="472">
        <f t="shared" si="504"/>
        <v>0</v>
      </c>
      <c r="U1298" s="182" t="s">
        <v>1069</v>
      </c>
      <c r="V1298" s="36" t="s">
        <v>15</v>
      </c>
      <c r="W1298" s="37" t="s">
        <v>104</v>
      </c>
      <c r="X1298" s="37" t="s">
        <v>98</v>
      </c>
      <c r="Y1298" s="37" t="s">
        <v>1048</v>
      </c>
      <c r="Z1298" s="37" t="s">
        <v>90</v>
      </c>
      <c r="AA1298" s="12" t="b">
        <f t="shared" si="514"/>
        <v>1</v>
      </c>
      <c r="AB1298" s="12" t="b">
        <f t="shared" si="515"/>
        <v>1</v>
      </c>
      <c r="AC1298" s="12" t="b">
        <f t="shared" si="516"/>
        <v>1</v>
      </c>
      <c r="AD1298" s="12" t="b">
        <f t="shared" si="517"/>
        <v>1</v>
      </c>
      <c r="AE1298" s="12" t="b">
        <f t="shared" si="518"/>
        <v>1</v>
      </c>
      <c r="AF1298" s="12" t="b">
        <f t="shared" si="519"/>
        <v>1</v>
      </c>
    </row>
    <row r="1299" spans="1:32" s="427" customFormat="1" ht="67.5" customHeight="1">
      <c r="A1299" s="419"/>
      <c r="B1299" s="182" t="s">
        <v>1029</v>
      </c>
      <c r="C1299" s="36" t="s">
        <v>15</v>
      </c>
      <c r="D1299" s="37" t="s">
        <v>104</v>
      </c>
      <c r="E1299" s="37" t="s">
        <v>98</v>
      </c>
      <c r="F1299" s="37" t="s">
        <v>1030</v>
      </c>
      <c r="G1299" s="37" t="s">
        <v>90</v>
      </c>
      <c r="H1299" s="183">
        <f>H1300</f>
        <v>138468.64000000001</v>
      </c>
      <c r="I1299" s="183">
        <f>I1300</f>
        <v>0</v>
      </c>
      <c r="J1299" s="183">
        <f>J1300</f>
        <v>0</v>
      </c>
      <c r="K1299" s="183">
        <v>138468.64000000001</v>
      </c>
      <c r="L1299" s="183">
        <v>0</v>
      </c>
      <c r="M1299" s="183">
        <v>0</v>
      </c>
      <c r="N1299" s="183"/>
      <c r="O1299" s="183">
        <v>138468.64000000001</v>
      </c>
      <c r="P1299" s="183">
        <v>0</v>
      </c>
      <c r="Q1299" s="183">
        <v>0</v>
      </c>
      <c r="R1299" s="472">
        <f t="shared" si="502"/>
        <v>0</v>
      </c>
      <c r="S1299" s="472">
        <f t="shared" si="503"/>
        <v>0</v>
      </c>
      <c r="T1299" s="472">
        <f t="shared" si="504"/>
        <v>0</v>
      </c>
      <c r="U1299" s="182" t="s">
        <v>1029</v>
      </c>
      <c r="V1299" s="36" t="s">
        <v>15</v>
      </c>
      <c r="W1299" s="37" t="s">
        <v>104</v>
      </c>
      <c r="X1299" s="37" t="s">
        <v>98</v>
      </c>
      <c r="Y1299" s="37" t="s">
        <v>1030</v>
      </c>
      <c r="Z1299" s="37" t="s">
        <v>90</v>
      </c>
      <c r="AA1299" s="12" t="b">
        <f t="shared" si="514"/>
        <v>1</v>
      </c>
      <c r="AB1299" s="12" t="b">
        <f t="shared" si="515"/>
        <v>1</v>
      </c>
      <c r="AC1299" s="12" t="b">
        <f t="shared" si="516"/>
        <v>1</v>
      </c>
      <c r="AD1299" s="12" t="b">
        <f t="shared" si="517"/>
        <v>1</v>
      </c>
      <c r="AE1299" s="12" t="b">
        <f t="shared" si="518"/>
        <v>1</v>
      </c>
      <c r="AF1299" s="12" t="b">
        <f t="shared" si="519"/>
        <v>1</v>
      </c>
    </row>
    <row r="1300" spans="1:32" s="12" customFormat="1" ht="15.75" customHeight="1">
      <c r="A1300" s="383"/>
      <c r="B1300" s="114" t="s">
        <v>20</v>
      </c>
      <c r="C1300" s="111" t="s">
        <v>15</v>
      </c>
      <c r="D1300" s="112" t="s">
        <v>104</v>
      </c>
      <c r="E1300" s="112" t="s">
        <v>98</v>
      </c>
      <c r="F1300" s="112" t="s">
        <v>1030</v>
      </c>
      <c r="G1300" s="112" t="s">
        <v>141</v>
      </c>
      <c r="H1300" s="113">
        <v>138468.64000000001</v>
      </c>
      <c r="I1300" s="113">
        <v>0</v>
      </c>
      <c r="J1300" s="113">
        <v>0</v>
      </c>
      <c r="K1300" s="113">
        <v>138468.64000000001</v>
      </c>
      <c r="L1300" s="113">
        <v>0</v>
      </c>
      <c r="M1300" s="113">
        <v>0</v>
      </c>
      <c r="N1300" s="113"/>
      <c r="O1300" s="113">
        <v>138468.64000000001</v>
      </c>
      <c r="P1300" s="113">
        <v>0</v>
      </c>
      <c r="Q1300" s="113">
        <v>0</v>
      </c>
      <c r="R1300" s="472">
        <f t="shared" si="502"/>
        <v>0</v>
      </c>
      <c r="S1300" s="472">
        <f t="shared" si="503"/>
        <v>0</v>
      </c>
      <c r="T1300" s="472">
        <f t="shared" si="504"/>
        <v>0</v>
      </c>
      <c r="U1300" s="114" t="s">
        <v>20</v>
      </c>
      <c r="V1300" s="111" t="s">
        <v>15</v>
      </c>
      <c r="W1300" s="112" t="s">
        <v>104</v>
      </c>
      <c r="X1300" s="112" t="s">
        <v>98</v>
      </c>
      <c r="Y1300" s="112" t="s">
        <v>1030</v>
      </c>
      <c r="Z1300" s="112" t="s">
        <v>141</v>
      </c>
      <c r="AA1300" s="12" t="b">
        <f t="shared" si="514"/>
        <v>1</v>
      </c>
      <c r="AB1300" s="12" t="b">
        <f t="shared" si="515"/>
        <v>1</v>
      </c>
      <c r="AC1300" s="12" t="b">
        <f t="shared" si="516"/>
        <v>1</v>
      </c>
      <c r="AD1300" s="12" t="b">
        <f t="shared" si="517"/>
        <v>1</v>
      </c>
      <c r="AE1300" s="12" t="b">
        <f t="shared" si="518"/>
        <v>1</v>
      </c>
      <c r="AF1300" s="12" t="b">
        <f t="shared" si="519"/>
        <v>1</v>
      </c>
    </row>
    <row r="1301" spans="1:32" s="12" customFormat="1" ht="15.75" customHeight="1">
      <c r="A1301" s="383"/>
      <c r="B1301" s="182" t="s">
        <v>1070</v>
      </c>
      <c r="C1301" s="36" t="s">
        <v>15</v>
      </c>
      <c r="D1301" s="37" t="s">
        <v>104</v>
      </c>
      <c r="E1301" s="37" t="s">
        <v>98</v>
      </c>
      <c r="F1301" s="37" t="s">
        <v>1071</v>
      </c>
      <c r="G1301" s="37" t="s">
        <v>90</v>
      </c>
      <c r="H1301" s="183">
        <f>H1302</f>
        <v>129371.74</v>
      </c>
      <c r="I1301" s="183">
        <v>0</v>
      </c>
      <c r="J1301" s="183">
        <v>0</v>
      </c>
      <c r="K1301" s="183">
        <v>129371.74</v>
      </c>
      <c r="L1301" s="183">
        <v>0</v>
      </c>
      <c r="M1301" s="183">
        <v>0</v>
      </c>
      <c r="N1301" s="183"/>
      <c r="O1301" s="183">
        <v>129371.74</v>
      </c>
      <c r="P1301" s="183">
        <v>0</v>
      </c>
      <c r="Q1301" s="183">
        <v>0</v>
      </c>
      <c r="R1301" s="472">
        <f t="shared" si="502"/>
        <v>0</v>
      </c>
      <c r="S1301" s="472">
        <f t="shared" si="503"/>
        <v>0</v>
      </c>
      <c r="T1301" s="472">
        <f t="shared" si="504"/>
        <v>0</v>
      </c>
      <c r="U1301" s="182" t="s">
        <v>1070</v>
      </c>
      <c r="V1301" s="36" t="s">
        <v>15</v>
      </c>
      <c r="W1301" s="37" t="s">
        <v>104</v>
      </c>
      <c r="X1301" s="37" t="s">
        <v>98</v>
      </c>
      <c r="Y1301" s="37" t="s">
        <v>1071</v>
      </c>
      <c r="Z1301" s="37" t="s">
        <v>90</v>
      </c>
      <c r="AA1301" s="12" t="b">
        <f t="shared" si="514"/>
        <v>1</v>
      </c>
      <c r="AB1301" s="12" t="b">
        <f t="shared" si="515"/>
        <v>1</v>
      </c>
      <c r="AC1301" s="12" t="b">
        <f t="shared" si="516"/>
        <v>1</v>
      </c>
      <c r="AD1301" s="12" t="b">
        <f t="shared" si="517"/>
        <v>1</v>
      </c>
      <c r="AE1301" s="12" t="b">
        <f t="shared" si="518"/>
        <v>1</v>
      </c>
      <c r="AF1301" s="12" t="b">
        <f t="shared" si="519"/>
        <v>1</v>
      </c>
    </row>
    <row r="1302" spans="1:32" s="12" customFormat="1" ht="15.75" customHeight="1">
      <c r="A1302" s="383"/>
      <c r="B1302" s="114" t="s">
        <v>20</v>
      </c>
      <c r="C1302" s="111" t="s">
        <v>15</v>
      </c>
      <c r="D1302" s="112" t="s">
        <v>104</v>
      </c>
      <c r="E1302" s="112" t="s">
        <v>98</v>
      </c>
      <c r="F1302" s="112" t="s">
        <v>1071</v>
      </c>
      <c r="G1302" s="112" t="s">
        <v>141</v>
      </c>
      <c r="H1302" s="113">
        <v>129371.74</v>
      </c>
      <c r="I1302" s="113">
        <v>0</v>
      </c>
      <c r="J1302" s="113">
        <v>0</v>
      </c>
      <c r="K1302" s="113">
        <v>129371.74</v>
      </c>
      <c r="L1302" s="113">
        <v>0</v>
      </c>
      <c r="M1302" s="113">
        <v>0</v>
      </c>
      <c r="N1302" s="113"/>
      <c r="O1302" s="113">
        <v>129371.74</v>
      </c>
      <c r="P1302" s="113">
        <v>0</v>
      </c>
      <c r="Q1302" s="113">
        <v>0</v>
      </c>
      <c r="R1302" s="472">
        <f t="shared" si="502"/>
        <v>0</v>
      </c>
      <c r="S1302" s="472">
        <f t="shared" si="503"/>
        <v>0</v>
      </c>
      <c r="T1302" s="472">
        <f t="shared" si="504"/>
        <v>0</v>
      </c>
      <c r="U1302" s="114" t="s">
        <v>20</v>
      </c>
      <c r="V1302" s="111" t="s">
        <v>15</v>
      </c>
      <c r="W1302" s="112" t="s">
        <v>104</v>
      </c>
      <c r="X1302" s="112" t="s">
        <v>98</v>
      </c>
      <c r="Y1302" s="112" t="s">
        <v>1071</v>
      </c>
      <c r="Z1302" s="112" t="s">
        <v>141</v>
      </c>
      <c r="AA1302" s="12" t="b">
        <f t="shared" si="514"/>
        <v>1</v>
      </c>
      <c r="AB1302" s="12" t="b">
        <f t="shared" si="515"/>
        <v>1</v>
      </c>
      <c r="AC1302" s="12" t="b">
        <f t="shared" si="516"/>
        <v>1</v>
      </c>
      <c r="AD1302" s="12" t="b">
        <f t="shared" si="517"/>
        <v>1</v>
      </c>
      <c r="AE1302" s="12" t="b">
        <f t="shared" si="518"/>
        <v>1</v>
      </c>
      <c r="AF1302" s="12" t="b">
        <f t="shared" si="519"/>
        <v>1</v>
      </c>
    </row>
    <row r="1303" spans="1:32" s="12" customFormat="1" ht="15.75" customHeight="1">
      <c r="A1303" s="285"/>
      <c r="B1303" s="32" t="s">
        <v>94</v>
      </c>
      <c r="C1303" s="33" t="s">
        <v>15</v>
      </c>
      <c r="D1303" s="34" t="s">
        <v>104</v>
      </c>
      <c r="E1303" s="34" t="s">
        <v>99</v>
      </c>
      <c r="F1303" s="34" t="s">
        <v>223</v>
      </c>
      <c r="G1303" s="34" t="s">
        <v>90</v>
      </c>
      <c r="H1303" s="35">
        <f t="shared" ref="H1303:J1304" si="521">H1304</f>
        <v>380345.37</v>
      </c>
      <c r="I1303" s="35">
        <f t="shared" si="521"/>
        <v>2085150.08</v>
      </c>
      <c r="J1303" s="35">
        <f t="shared" si="521"/>
        <v>0</v>
      </c>
      <c r="K1303" s="35">
        <v>380345.37</v>
      </c>
      <c r="L1303" s="35">
        <v>2085150.08</v>
      </c>
      <c r="M1303" s="35">
        <v>0</v>
      </c>
      <c r="N1303" s="35"/>
      <c r="O1303" s="35">
        <v>380345.37</v>
      </c>
      <c r="P1303" s="35">
        <v>2085150.08</v>
      </c>
      <c r="Q1303" s="35">
        <v>0</v>
      </c>
      <c r="R1303" s="472">
        <f t="shared" si="502"/>
        <v>0</v>
      </c>
      <c r="S1303" s="472">
        <f t="shared" si="503"/>
        <v>0</v>
      </c>
      <c r="T1303" s="472">
        <f t="shared" si="504"/>
        <v>0</v>
      </c>
      <c r="U1303" s="32" t="s">
        <v>94</v>
      </c>
      <c r="V1303" s="33" t="s">
        <v>15</v>
      </c>
      <c r="W1303" s="34" t="s">
        <v>104</v>
      </c>
      <c r="X1303" s="34" t="s">
        <v>99</v>
      </c>
      <c r="Y1303" s="34" t="s">
        <v>223</v>
      </c>
      <c r="Z1303" s="34" t="s">
        <v>90</v>
      </c>
      <c r="AA1303" s="12" t="b">
        <f t="shared" si="514"/>
        <v>1</v>
      </c>
      <c r="AB1303" s="12" t="b">
        <f t="shared" si="515"/>
        <v>1</v>
      </c>
      <c r="AC1303" s="12" t="b">
        <f t="shared" si="516"/>
        <v>1</v>
      </c>
      <c r="AD1303" s="12" t="b">
        <f t="shared" si="517"/>
        <v>1</v>
      </c>
      <c r="AE1303" s="12" t="b">
        <f t="shared" si="518"/>
        <v>1</v>
      </c>
      <c r="AF1303" s="12" t="b">
        <f t="shared" si="519"/>
        <v>1</v>
      </c>
    </row>
    <row r="1304" spans="1:32" s="12" customFormat="1" ht="15.75" customHeight="1">
      <c r="A1304" s="285"/>
      <c r="B1304" s="23" t="s">
        <v>647</v>
      </c>
      <c r="C1304" s="36" t="s">
        <v>15</v>
      </c>
      <c r="D1304" s="37" t="s">
        <v>104</v>
      </c>
      <c r="E1304" s="37" t="s">
        <v>99</v>
      </c>
      <c r="F1304" s="37" t="s">
        <v>316</v>
      </c>
      <c r="G1304" s="37" t="s">
        <v>90</v>
      </c>
      <c r="H1304" s="183">
        <f t="shared" si="521"/>
        <v>380345.37</v>
      </c>
      <c r="I1304" s="183">
        <f t="shared" si="521"/>
        <v>2085150.08</v>
      </c>
      <c r="J1304" s="183">
        <f t="shared" si="521"/>
        <v>0</v>
      </c>
      <c r="K1304" s="183">
        <v>380345.37</v>
      </c>
      <c r="L1304" s="183">
        <v>2085150.08</v>
      </c>
      <c r="M1304" s="183">
        <v>0</v>
      </c>
      <c r="N1304" s="183"/>
      <c r="O1304" s="183">
        <v>380345.37</v>
      </c>
      <c r="P1304" s="183">
        <v>2085150.08</v>
      </c>
      <c r="Q1304" s="183">
        <v>0</v>
      </c>
      <c r="R1304" s="472">
        <f t="shared" si="502"/>
        <v>0</v>
      </c>
      <c r="S1304" s="472">
        <f t="shared" si="503"/>
        <v>0</v>
      </c>
      <c r="T1304" s="472">
        <f t="shared" si="504"/>
        <v>0</v>
      </c>
      <c r="U1304" s="23" t="s">
        <v>647</v>
      </c>
      <c r="V1304" s="36" t="s">
        <v>15</v>
      </c>
      <c r="W1304" s="37" t="s">
        <v>104</v>
      </c>
      <c r="X1304" s="37" t="s">
        <v>99</v>
      </c>
      <c r="Y1304" s="37" t="s">
        <v>316</v>
      </c>
      <c r="Z1304" s="37" t="s">
        <v>90</v>
      </c>
      <c r="AA1304" s="12" t="b">
        <f t="shared" si="514"/>
        <v>1</v>
      </c>
      <c r="AB1304" s="12" t="b">
        <f t="shared" si="515"/>
        <v>1</v>
      </c>
      <c r="AC1304" s="12" t="b">
        <f t="shared" si="516"/>
        <v>1</v>
      </c>
      <c r="AD1304" s="12" t="b">
        <f t="shared" si="517"/>
        <v>1</v>
      </c>
      <c r="AE1304" s="12" t="b">
        <f t="shared" si="518"/>
        <v>1</v>
      </c>
      <c r="AF1304" s="12" t="b">
        <f t="shared" si="519"/>
        <v>1</v>
      </c>
    </row>
    <row r="1305" spans="1:32" s="12" customFormat="1" ht="15.75" customHeight="1">
      <c r="A1305" s="285"/>
      <c r="B1305" s="182" t="s">
        <v>648</v>
      </c>
      <c r="C1305" s="36" t="s">
        <v>15</v>
      </c>
      <c r="D1305" s="37" t="s">
        <v>104</v>
      </c>
      <c r="E1305" s="37" t="s">
        <v>99</v>
      </c>
      <c r="F1305" s="37" t="s">
        <v>493</v>
      </c>
      <c r="G1305" s="37" t="s">
        <v>90</v>
      </c>
      <c r="H1305" s="183">
        <f>H1307</f>
        <v>380345.37</v>
      </c>
      <c r="I1305" s="183">
        <f>I1307</f>
        <v>2085150.08</v>
      </c>
      <c r="J1305" s="183">
        <f>J1307</f>
        <v>0</v>
      </c>
      <c r="K1305" s="183">
        <v>380345.37</v>
      </c>
      <c r="L1305" s="183">
        <v>2085150.08</v>
      </c>
      <c r="M1305" s="183">
        <v>0</v>
      </c>
      <c r="N1305" s="183"/>
      <c r="O1305" s="183">
        <v>380345.37</v>
      </c>
      <c r="P1305" s="183">
        <v>2085150.08</v>
      </c>
      <c r="Q1305" s="183">
        <v>0</v>
      </c>
      <c r="R1305" s="472">
        <f t="shared" si="502"/>
        <v>0</v>
      </c>
      <c r="S1305" s="472">
        <f t="shared" si="503"/>
        <v>0</v>
      </c>
      <c r="T1305" s="472">
        <f t="shared" si="504"/>
        <v>0</v>
      </c>
      <c r="U1305" s="182" t="s">
        <v>648</v>
      </c>
      <c r="V1305" s="36" t="s">
        <v>15</v>
      </c>
      <c r="W1305" s="37" t="s">
        <v>104</v>
      </c>
      <c r="X1305" s="37" t="s">
        <v>99</v>
      </c>
      <c r="Y1305" s="37" t="s">
        <v>493</v>
      </c>
      <c r="Z1305" s="37" t="s">
        <v>90</v>
      </c>
      <c r="AA1305" s="12" t="b">
        <f t="shared" si="514"/>
        <v>1</v>
      </c>
      <c r="AB1305" s="12" t="b">
        <f t="shared" si="515"/>
        <v>1</v>
      </c>
      <c r="AC1305" s="12" t="b">
        <f t="shared" si="516"/>
        <v>1</v>
      </c>
      <c r="AD1305" s="12" t="b">
        <f t="shared" si="517"/>
        <v>1</v>
      </c>
      <c r="AE1305" s="12" t="b">
        <f t="shared" si="518"/>
        <v>1</v>
      </c>
      <c r="AF1305" s="12" t="b">
        <f t="shared" si="519"/>
        <v>1</v>
      </c>
    </row>
    <row r="1306" spans="1:32" s="12" customFormat="1" ht="15.75" customHeight="1">
      <c r="A1306" s="285"/>
      <c r="B1306" s="182" t="s">
        <v>1263</v>
      </c>
      <c r="C1306" s="36" t="s">
        <v>15</v>
      </c>
      <c r="D1306" s="37" t="s">
        <v>104</v>
      </c>
      <c r="E1306" s="37" t="s">
        <v>99</v>
      </c>
      <c r="F1306" s="37" t="s">
        <v>1259</v>
      </c>
      <c r="G1306" s="37" t="s">
        <v>90</v>
      </c>
      <c r="H1306" s="183">
        <f>H1307</f>
        <v>380345.37</v>
      </c>
      <c r="I1306" s="183">
        <f t="shared" ref="I1306:J1306" si="522">I1307</f>
        <v>2085150.08</v>
      </c>
      <c r="J1306" s="183">
        <f t="shared" si="522"/>
        <v>0</v>
      </c>
      <c r="K1306" s="518">
        <v>380345.37</v>
      </c>
      <c r="L1306" s="518">
        <v>2085150.08</v>
      </c>
      <c r="M1306" s="518">
        <v>0</v>
      </c>
      <c r="N1306" s="518"/>
      <c r="O1306" s="183"/>
      <c r="P1306" s="183"/>
      <c r="Q1306" s="183"/>
      <c r="R1306" s="472"/>
      <c r="S1306" s="472"/>
      <c r="T1306" s="472"/>
      <c r="U1306" s="182"/>
      <c r="V1306" s="36"/>
      <c r="W1306" s="37"/>
      <c r="X1306" s="37"/>
      <c r="Y1306" s="37"/>
      <c r="Z1306" s="37"/>
    </row>
    <row r="1307" spans="1:32" s="12" customFormat="1" ht="15.75" customHeight="1">
      <c r="A1307" s="285"/>
      <c r="B1307" s="23" t="s">
        <v>1056</v>
      </c>
      <c r="C1307" s="36" t="s">
        <v>15</v>
      </c>
      <c r="D1307" s="37" t="s">
        <v>104</v>
      </c>
      <c r="E1307" s="37" t="s">
        <v>99</v>
      </c>
      <c r="F1307" s="37" t="s">
        <v>1049</v>
      </c>
      <c r="G1307" s="37" t="s">
        <v>90</v>
      </c>
      <c r="H1307" s="183">
        <f>H1310+H1312+H1308</f>
        <v>380345.37</v>
      </c>
      <c r="I1307" s="183">
        <f>I1310+I1312+I1308</f>
        <v>2085150.08</v>
      </c>
      <c r="J1307" s="183">
        <f>J1310+J1312+J1308</f>
        <v>0</v>
      </c>
      <c r="K1307" s="183">
        <v>380345.37</v>
      </c>
      <c r="L1307" s="183">
        <v>2085150.08</v>
      </c>
      <c r="M1307" s="183">
        <v>0</v>
      </c>
      <c r="N1307" s="183"/>
      <c r="O1307" s="183">
        <v>380345.37</v>
      </c>
      <c r="P1307" s="183">
        <v>2085150.08</v>
      </c>
      <c r="Q1307" s="183">
        <v>0</v>
      </c>
      <c r="R1307" s="472">
        <f t="shared" si="502"/>
        <v>0</v>
      </c>
      <c r="S1307" s="472">
        <f t="shared" si="503"/>
        <v>0</v>
      </c>
      <c r="T1307" s="472">
        <f t="shared" si="504"/>
        <v>0</v>
      </c>
      <c r="U1307" s="23" t="s">
        <v>1056</v>
      </c>
      <c r="V1307" s="36" t="s">
        <v>15</v>
      </c>
      <c r="W1307" s="37" t="s">
        <v>104</v>
      </c>
      <c r="X1307" s="37" t="s">
        <v>99</v>
      </c>
      <c r="Y1307" s="37" t="s">
        <v>1049</v>
      </c>
      <c r="Z1307" s="37" t="s">
        <v>90</v>
      </c>
      <c r="AA1307" s="12" t="b">
        <f t="shared" si="514"/>
        <v>1</v>
      </c>
      <c r="AB1307" s="12" t="b">
        <f t="shared" si="515"/>
        <v>1</v>
      </c>
      <c r="AC1307" s="12" t="b">
        <f t="shared" si="516"/>
        <v>1</v>
      </c>
      <c r="AD1307" s="12" t="b">
        <f t="shared" si="517"/>
        <v>1</v>
      </c>
      <c r="AE1307" s="12" t="b">
        <f t="shared" si="518"/>
        <v>1</v>
      </c>
      <c r="AF1307" s="12" t="b">
        <f t="shared" si="519"/>
        <v>1</v>
      </c>
    </row>
    <row r="1308" spans="1:32" s="427" customFormat="1" ht="15.75" customHeight="1">
      <c r="A1308" s="419"/>
      <c r="B1308" s="182" t="s">
        <v>1021</v>
      </c>
      <c r="C1308" s="36" t="s">
        <v>15</v>
      </c>
      <c r="D1308" s="37" t="s">
        <v>104</v>
      </c>
      <c r="E1308" s="37" t="s">
        <v>99</v>
      </c>
      <c r="F1308" s="37" t="s">
        <v>1171</v>
      </c>
      <c r="G1308" s="37" t="s">
        <v>90</v>
      </c>
      <c r="H1308" s="183">
        <f>H1309</f>
        <v>142534.95000000001</v>
      </c>
      <c r="I1308" s="183">
        <f t="shared" ref="I1308:J1308" si="523">I1309</f>
        <v>1271856.29</v>
      </c>
      <c r="J1308" s="183">
        <f t="shared" si="523"/>
        <v>0</v>
      </c>
      <c r="K1308" s="183">
        <v>142534.95000000001</v>
      </c>
      <c r="L1308" s="183">
        <v>1271856.29</v>
      </c>
      <c r="M1308" s="183">
        <v>0</v>
      </c>
      <c r="N1308" s="183"/>
      <c r="O1308" s="183">
        <v>142534.95000000001</v>
      </c>
      <c r="P1308" s="183">
        <v>1271856.29</v>
      </c>
      <c r="Q1308" s="183">
        <v>0</v>
      </c>
      <c r="R1308" s="472">
        <f t="shared" si="502"/>
        <v>0</v>
      </c>
      <c r="S1308" s="472">
        <f t="shared" si="503"/>
        <v>0</v>
      </c>
      <c r="T1308" s="472">
        <f t="shared" si="504"/>
        <v>0</v>
      </c>
      <c r="U1308" s="182" t="s">
        <v>1021</v>
      </c>
      <c r="V1308" s="36" t="s">
        <v>15</v>
      </c>
      <c r="W1308" s="37" t="s">
        <v>104</v>
      </c>
      <c r="X1308" s="37" t="s">
        <v>99</v>
      </c>
      <c r="Y1308" s="37" t="s">
        <v>1171</v>
      </c>
      <c r="Z1308" s="37" t="s">
        <v>90</v>
      </c>
      <c r="AA1308" s="12" t="b">
        <f t="shared" si="514"/>
        <v>1</v>
      </c>
      <c r="AB1308" s="12" t="b">
        <f t="shared" si="515"/>
        <v>1</v>
      </c>
      <c r="AC1308" s="12" t="b">
        <f t="shared" si="516"/>
        <v>1</v>
      </c>
      <c r="AD1308" s="12" t="b">
        <f t="shared" si="517"/>
        <v>1</v>
      </c>
      <c r="AE1308" s="12" t="b">
        <f t="shared" si="518"/>
        <v>1</v>
      </c>
      <c r="AF1308" s="12" t="b">
        <f t="shared" si="519"/>
        <v>1</v>
      </c>
    </row>
    <row r="1309" spans="1:32" s="12" customFormat="1" ht="15.75" customHeight="1">
      <c r="A1309" s="383"/>
      <c r="B1309" s="114" t="s">
        <v>20</v>
      </c>
      <c r="C1309" s="111" t="s">
        <v>15</v>
      </c>
      <c r="D1309" s="112" t="s">
        <v>104</v>
      </c>
      <c r="E1309" s="112" t="s">
        <v>99</v>
      </c>
      <c r="F1309" s="112" t="s">
        <v>1171</v>
      </c>
      <c r="G1309" s="112" t="s">
        <v>141</v>
      </c>
      <c r="H1309" s="113">
        <v>142534.95000000001</v>
      </c>
      <c r="I1309" s="113">
        <v>1271856.29</v>
      </c>
      <c r="J1309" s="113">
        <v>0</v>
      </c>
      <c r="K1309" s="113">
        <v>142534.95000000001</v>
      </c>
      <c r="L1309" s="113">
        <v>1271856.29</v>
      </c>
      <c r="M1309" s="113">
        <v>0</v>
      </c>
      <c r="N1309" s="113"/>
      <c r="O1309" s="113">
        <v>142534.95000000001</v>
      </c>
      <c r="P1309" s="113">
        <v>1271856.29</v>
      </c>
      <c r="Q1309" s="113">
        <v>0</v>
      </c>
      <c r="R1309" s="472">
        <f t="shared" si="502"/>
        <v>0</v>
      </c>
      <c r="S1309" s="472">
        <f t="shared" si="503"/>
        <v>0</v>
      </c>
      <c r="T1309" s="472">
        <f t="shared" si="504"/>
        <v>0</v>
      </c>
      <c r="U1309" s="114" t="s">
        <v>20</v>
      </c>
      <c r="V1309" s="111" t="s">
        <v>15</v>
      </c>
      <c r="W1309" s="112" t="s">
        <v>104</v>
      </c>
      <c r="X1309" s="112" t="s">
        <v>99</v>
      </c>
      <c r="Y1309" s="112" t="s">
        <v>1171</v>
      </c>
      <c r="Z1309" s="112" t="s">
        <v>141</v>
      </c>
      <c r="AA1309" s="12" t="b">
        <f t="shared" si="514"/>
        <v>1</v>
      </c>
      <c r="AB1309" s="12" t="b">
        <f t="shared" si="515"/>
        <v>1</v>
      </c>
      <c r="AC1309" s="12" t="b">
        <f t="shared" si="516"/>
        <v>1</v>
      </c>
      <c r="AD1309" s="12" t="b">
        <f t="shared" si="517"/>
        <v>1</v>
      </c>
      <c r="AE1309" s="12" t="b">
        <f t="shared" si="518"/>
        <v>1</v>
      </c>
      <c r="AF1309" s="12" t="b">
        <f t="shared" si="519"/>
        <v>1</v>
      </c>
    </row>
    <row r="1310" spans="1:32" s="12" customFormat="1" ht="15.75" customHeight="1">
      <c r="A1310" s="285"/>
      <c r="B1310" s="182" t="s">
        <v>1169</v>
      </c>
      <c r="C1310" s="36" t="s">
        <v>15</v>
      </c>
      <c r="D1310" s="37" t="s">
        <v>104</v>
      </c>
      <c r="E1310" s="37" t="s">
        <v>99</v>
      </c>
      <c r="F1310" s="37" t="s">
        <v>1047</v>
      </c>
      <c r="G1310" s="37" t="s">
        <v>90</v>
      </c>
      <c r="H1310" s="183">
        <f>H1311</f>
        <v>237810.42</v>
      </c>
      <c r="I1310" s="183">
        <f t="shared" ref="I1310:J1310" si="524">I1311</f>
        <v>372081.37</v>
      </c>
      <c r="J1310" s="183">
        <f t="shared" si="524"/>
        <v>0</v>
      </c>
      <c r="K1310" s="183">
        <v>237810.42</v>
      </c>
      <c r="L1310" s="183">
        <v>372081.37</v>
      </c>
      <c r="M1310" s="183">
        <v>0</v>
      </c>
      <c r="N1310" s="183"/>
      <c r="O1310" s="183">
        <v>237810.42</v>
      </c>
      <c r="P1310" s="183">
        <v>372081.37</v>
      </c>
      <c r="Q1310" s="183">
        <v>0</v>
      </c>
      <c r="R1310" s="472">
        <f t="shared" si="502"/>
        <v>0</v>
      </c>
      <c r="S1310" s="472">
        <f t="shared" si="503"/>
        <v>0</v>
      </c>
      <c r="T1310" s="472">
        <f t="shared" si="504"/>
        <v>0</v>
      </c>
      <c r="U1310" s="182" t="s">
        <v>1169</v>
      </c>
      <c r="V1310" s="36" t="s">
        <v>15</v>
      </c>
      <c r="W1310" s="37" t="s">
        <v>104</v>
      </c>
      <c r="X1310" s="37" t="s">
        <v>99</v>
      </c>
      <c r="Y1310" s="37" t="s">
        <v>1047</v>
      </c>
      <c r="Z1310" s="37" t="s">
        <v>90</v>
      </c>
      <c r="AA1310" s="12" t="b">
        <f t="shared" si="514"/>
        <v>1</v>
      </c>
      <c r="AB1310" s="12" t="b">
        <f t="shared" si="515"/>
        <v>1</v>
      </c>
      <c r="AC1310" s="12" t="b">
        <f t="shared" si="516"/>
        <v>1</v>
      </c>
      <c r="AD1310" s="12" t="b">
        <f t="shared" si="517"/>
        <v>1</v>
      </c>
      <c r="AE1310" s="12" t="b">
        <f t="shared" si="518"/>
        <v>1</v>
      </c>
      <c r="AF1310" s="12" t="b">
        <f t="shared" si="519"/>
        <v>1</v>
      </c>
    </row>
    <row r="1311" spans="1:32" s="12" customFormat="1" ht="15.75" customHeight="1">
      <c r="A1311" s="285"/>
      <c r="B1311" s="114" t="s">
        <v>20</v>
      </c>
      <c r="C1311" s="111" t="s">
        <v>15</v>
      </c>
      <c r="D1311" s="112" t="s">
        <v>104</v>
      </c>
      <c r="E1311" s="112" t="s">
        <v>99</v>
      </c>
      <c r="F1311" s="112" t="s">
        <v>1047</v>
      </c>
      <c r="G1311" s="112" t="s">
        <v>141</v>
      </c>
      <c r="H1311" s="113">
        <v>237810.42</v>
      </c>
      <c r="I1311" s="113">
        <v>372081.37</v>
      </c>
      <c r="J1311" s="113">
        <v>0</v>
      </c>
      <c r="K1311" s="113">
        <v>237810.42</v>
      </c>
      <c r="L1311" s="113">
        <v>372081.37</v>
      </c>
      <c r="M1311" s="113">
        <v>0</v>
      </c>
      <c r="N1311" s="113"/>
      <c r="O1311" s="113">
        <v>237810.42</v>
      </c>
      <c r="P1311" s="113">
        <v>372081.37</v>
      </c>
      <c r="Q1311" s="113">
        <v>0</v>
      </c>
      <c r="R1311" s="472">
        <f t="shared" si="502"/>
        <v>0</v>
      </c>
      <c r="S1311" s="472">
        <f t="shared" si="503"/>
        <v>0</v>
      </c>
      <c r="T1311" s="472">
        <f t="shared" si="504"/>
        <v>0</v>
      </c>
      <c r="U1311" s="114" t="s">
        <v>20</v>
      </c>
      <c r="V1311" s="111" t="s">
        <v>15</v>
      </c>
      <c r="W1311" s="112" t="s">
        <v>104</v>
      </c>
      <c r="X1311" s="112" t="s">
        <v>99</v>
      </c>
      <c r="Y1311" s="112" t="s">
        <v>1047</v>
      </c>
      <c r="Z1311" s="112" t="s">
        <v>141</v>
      </c>
      <c r="AA1311" s="12" t="b">
        <f t="shared" si="514"/>
        <v>1</v>
      </c>
      <c r="AB1311" s="12" t="b">
        <f t="shared" si="515"/>
        <v>1</v>
      </c>
      <c r="AC1311" s="12" t="b">
        <f t="shared" si="516"/>
        <v>1</v>
      </c>
      <c r="AD1311" s="12" t="b">
        <f t="shared" si="517"/>
        <v>1</v>
      </c>
      <c r="AE1311" s="12" t="b">
        <f t="shared" si="518"/>
        <v>1</v>
      </c>
      <c r="AF1311" s="12" t="b">
        <f t="shared" si="519"/>
        <v>1</v>
      </c>
    </row>
    <row r="1312" spans="1:32" s="12" customFormat="1" ht="15.75" customHeight="1">
      <c r="A1312" s="285"/>
      <c r="B1312" s="182" t="s">
        <v>1170</v>
      </c>
      <c r="C1312" s="36" t="s">
        <v>15</v>
      </c>
      <c r="D1312" s="37" t="s">
        <v>104</v>
      </c>
      <c r="E1312" s="37" t="s">
        <v>99</v>
      </c>
      <c r="F1312" s="37" t="s">
        <v>1109</v>
      </c>
      <c r="G1312" s="37" t="s">
        <v>90</v>
      </c>
      <c r="H1312" s="183">
        <f>H1313</f>
        <v>0</v>
      </c>
      <c r="I1312" s="183">
        <f t="shared" ref="I1312:J1312" si="525">I1313</f>
        <v>441212.42</v>
      </c>
      <c r="J1312" s="183">
        <f t="shared" si="525"/>
        <v>0</v>
      </c>
      <c r="K1312" s="183">
        <v>0</v>
      </c>
      <c r="L1312" s="183">
        <v>441212.42</v>
      </c>
      <c r="M1312" s="183">
        <v>0</v>
      </c>
      <c r="N1312" s="183"/>
      <c r="O1312" s="183">
        <v>0</v>
      </c>
      <c r="P1312" s="183">
        <v>441212.42</v>
      </c>
      <c r="Q1312" s="183">
        <v>0</v>
      </c>
      <c r="R1312" s="472">
        <f t="shared" si="502"/>
        <v>0</v>
      </c>
      <c r="S1312" s="472">
        <f t="shared" si="503"/>
        <v>0</v>
      </c>
      <c r="T1312" s="472">
        <f t="shared" si="504"/>
        <v>0</v>
      </c>
      <c r="U1312" s="182" t="s">
        <v>1170</v>
      </c>
      <c r="V1312" s="36" t="s">
        <v>15</v>
      </c>
      <c r="W1312" s="37" t="s">
        <v>104</v>
      </c>
      <c r="X1312" s="37" t="s">
        <v>99</v>
      </c>
      <c r="Y1312" s="37" t="s">
        <v>1109</v>
      </c>
      <c r="Z1312" s="37" t="s">
        <v>90</v>
      </c>
      <c r="AA1312" s="12" t="b">
        <f t="shared" si="514"/>
        <v>1</v>
      </c>
      <c r="AB1312" s="12" t="b">
        <f t="shared" si="515"/>
        <v>1</v>
      </c>
      <c r="AC1312" s="12" t="b">
        <f t="shared" si="516"/>
        <v>1</v>
      </c>
      <c r="AD1312" s="12" t="b">
        <f t="shared" si="517"/>
        <v>1</v>
      </c>
      <c r="AE1312" s="12" t="b">
        <f t="shared" si="518"/>
        <v>1</v>
      </c>
      <c r="AF1312" s="12" t="b">
        <f t="shared" si="519"/>
        <v>1</v>
      </c>
    </row>
    <row r="1313" spans="1:32" s="12" customFormat="1" ht="15.75" customHeight="1">
      <c r="A1313" s="285"/>
      <c r="B1313" s="114" t="s">
        <v>20</v>
      </c>
      <c r="C1313" s="111" t="s">
        <v>15</v>
      </c>
      <c r="D1313" s="112" t="s">
        <v>104</v>
      </c>
      <c r="E1313" s="112" t="s">
        <v>99</v>
      </c>
      <c r="F1313" s="112" t="s">
        <v>1109</v>
      </c>
      <c r="G1313" s="112" t="s">
        <v>141</v>
      </c>
      <c r="H1313" s="113">
        <v>0</v>
      </c>
      <c r="I1313" s="113">
        <v>441212.42</v>
      </c>
      <c r="J1313" s="113">
        <v>0</v>
      </c>
      <c r="K1313" s="113">
        <v>0</v>
      </c>
      <c r="L1313" s="113">
        <v>441212.42</v>
      </c>
      <c r="M1313" s="113">
        <v>0</v>
      </c>
      <c r="N1313" s="113"/>
      <c r="O1313" s="113">
        <v>0</v>
      </c>
      <c r="P1313" s="113">
        <v>441212.42</v>
      </c>
      <c r="Q1313" s="113">
        <v>0</v>
      </c>
      <c r="R1313" s="472">
        <f t="shared" ref="R1313:R1376" si="526">H1313-O1313</f>
        <v>0</v>
      </c>
      <c r="S1313" s="472">
        <f t="shared" ref="S1313:S1376" si="527">I1313-P1313</f>
        <v>0</v>
      </c>
      <c r="T1313" s="472">
        <f t="shared" ref="T1313:T1376" si="528">J1313-Q1313</f>
        <v>0</v>
      </c>
      <c r="U1313" s="114" t="s">
        <v>20</v>
      </c>
      <c r="V1313" s="111" t="s">
        <v>15</v>
      </c>
      <c r="W1313" s="112" t="s">
        <v>104</v>
      </c>
      <c r="X1313" s="112" t="s">
        <v>99</v>
      </c>
      <c r="Y1313" s="112" t="s">
        <v>1109</v>
      </c>
      <c r="Z1313" s="112" t="s">
        <v>141</v>
      </c>
      <c r="AA1313" s="12" t="b">
        <f t="shared" si="514"/>
        <v>1</v>
      </c>
      <c r="AB1313" s="12" t="b">
        <f t="shared" si="515"/>
        <v>1</v>
      </c>
      <c r="AC1313" s="12" t="b">
        <f t="shared" si="516"/>
        <v>1</v>
      </c>
      <c r="AD1313" s="12" t="b">
        <f t="shared" si="517"/>
        <v>1</v>
      </c>
      <c r="AE1313" s="12" t="b">
        <f t="shared" si="518"/>
        <v>1</v>
      </c>
      <c r="AF1313" s="12" t="b">
        <f t="shared" si="519"/>
        <v>1</v>
      </c>
    </row>
    <row r="1314" spans="1:32" s="12" customFormat="1" ht="15.75" customHeight="1">
      <c r="A1314" s="285"/>
      <c r="B1314" s="28" t="s">
        <v>123</v>
      </c>
      <c r="C1314" s="29" t="s">
        <v>15</v>
      </c>
      <c r="D1314" s="30" t="s">
        <v>82</v>
      </c>
      <c r="E1314" s="30" t="s">
        <v>83</v>
      </c>
      <c r="F1314" s="30" t="s">
        <v>223</v>
      </c>
      <c r="G1314" s="30" t="s">
        <v>90</v>
      </c>
      <c r="H1314" s="31">
        <f>H1315</f>
        <v>3410</v>
      </c>
      <c r="I1314" s="31">
        <f t="shared" ref="H1314:J1316" si="529">I1315</f>
        <v>3410</v>
      </c>
      <c r="J1314" s="31">
        <f t="shared" si="529"/>
        <v>3410</v>
      </c>
      <c r="K1314" s="31">
        <v>3410</v>
      </c>
      <c r="L1314" s="31">
        <v>3410</v>
      </c>
      <c r="M1314" s="31">
        <v>3410</v>
      </c>
      <c r="N1314" s="31"/>
      <c r="O1314" s="31">
        <v>3410</v>
      </c>
      <c r="P1314" s="31">
        <v>3410</v>
      </c>
      <c r="Q1314" s="31">
        <v>3410</v>
      </c>
      <c r="R1314" s="472">
        <f t="shared" si="526"/>
        <v>0</v>
      </c>
      <c r="S1314" s="472">
        <f t="shared" si="527"/>
        <v>0</v>
      </c>
      <c r="T1314" s="472">
        <f t="shared" si="528"/>
        <v>0</v>
      </c>
      <c r="U1314" s="28" t="s">
        <v>123</v>
      </c>
      <c r="V1314" s="29" t="s">
        <v>15</v>
      </c>
      <c r="W1314" s="30" t="s">
        <v>82</v>
      </c>
      <c r="X1314" s="30" t="s">
        <v>83</v>
      </c>
      <c r="Y1314" s="30" t="s">
        <v>223</v>
      </c>
      <c r="Z1314" s="30" t="s">
        <v>90</v>
      </c>
      <c r="AA1314" s="12" t="b">
        <f t="shared" si="514"/>
        <v>1</v>
      </c>
      <c r="AB1314" s="12" t="b">
        <f t="shared" si="515"/>
        <v>1</v>
      </c>
      <c r="AC1314" s="12" t="b">
        <f t="shared" si="516"/>
        <v>1</v>
      </c>
      <c r="AD1314" s="12" t="b">
        <f t="shared" si="517"/>
        <v>1</v>
      </c>
      <c r="AE1314" s="12" t="b">
        <f t="shared" si="518"/>
        <v>1</v>
      </c>
      <c r="AF1314" s="12" t="b">
        <f t="shared" si="519"/>
        <v>1</v>
      </c>
    </row>
    <row r="1315" spans="1:32" s="12" customFormat="1" ht="15.75" customHeight="1">
      <c r="A1315" s="285"/>
      <c r="B1315" s="32" t="s">
        <v>35</v>
      </c>
      <c r="C1315" s="33" t="s">
        <v>15</v>
      </c>
      <c r="D1315" s="34" t="s">
        <v>82</v>
      </c>
      <c r="E1315" s="34" t="s">
        <v>98</v>
      </c>
      <c r="F1315" s="34" t="s">
        <v>223</v>
      </c>
      <c r="G1315" s="34" t="s">
        <v>90</v>
      </c>
      <c r="H1315" s="35">
        <f t="shared" si="529"/>
        <v>3410</v>
      </c>
      <c r="I1315" s="35">
        <f t="shared" si="529"/>
        <v>3410</v>
      </c>
      <c r="J1315" s="35">
        <f t="shared" si="529"/>
        <v>3410</v>
      </c>
      <c r="K1315" s="35">
        <v>3410</v>
      </c>
      <c r="L1315" s="35">
        <v>3410</v>
      </c>
      <c r="M1315" s="35">
        <v>3410</v>
      </c>
      <c r="N1315" s="35"/>
      <c r="O1315" s="35">
        <v>3410</v>
      </c>
      <c r="P1315" s="35">
        <v>3410</v>
      </c>
      <c r="Q1315" s="35">
        <v>3410</v>
      </c>
      <c r="R1315" s="472">
        <f t="shared" si="526"/>
        <v>0</v>
      </c>
      <c r="S1315" s="472">
        <f t="shared" si="527"/>
        <v>0</v>
      </c>
      <c r="T1315" s="472">
        <f t="shared" si="528"/>
        <v>0</v>
      </c>
      <c r="U1315" s="32" t="s">
        <v>35</v>
      </c>
      <c r="V1315" s="33" t="s">
        <v>15</v>
      </c>
      <c r="W1315" s="34" t="s">
        <v>82</v>
      </c>
      <c r="X1315" s="34" t="s">
        <v>98</v>
      </c>
      <c r="Y1315" s="34" t="s">
        <v>223</v>
      </c>
      <c r="Z1315" s="34" t="s">
        <v>90</v>
      </c>
      <c r="AA1315" s="12" t="b">
        <f t="shared" si="514"/>
        <v>1</v>
      </c>
      <c r="AB1315" s="12" t="b">
        <f t="shared" si="515"/>
        <v>1</v>
      </c>
      <c r="AC1315" s="12" t="b">
        <f t="shared" si="516"/>
        <v>1</v>
      </c>
      <c r="AD1315" s="12" t="b">
        <f t="shared" si="517"/>
        <v>1</v>
      </c>
      <c r="AE1315" s="12" t="b">
        <f t="shared" si="518"/>
        <v>1</v>
      </c>
      <c r="AF1315" s="12" t="b">
        <f t="shared" si="519"/>
        <v>1</v>
      </c>
    </row>
    <row r="1316" spans="1:32" s="12" customFormat="1" ht="15.75" customHeight="1">
      <c r="A1316" s="285"/>
      <c r="B1316" s="182" t="s">
        <v>656</v>
      </c>
      <c r="C1316" s="36" t="s">
        <v>15</v>
      </c>
      <c r="D1316" s="37" t="s">
        <v>82</v>
      </c>
      <c r="E1316" s="37" t="s">
        <v>98</v>
      </c>
      <c r="F1316" s="57" t="s">
        <v>279</v>
      </c>
      <c r="G1316" s="37" t="s">
        <v>90</v>
      </c>
      <c r="H1316" s="183">
        <f t="shared" si="529"/>
        <v>3410</v>
      </c>
      <c r="I1316" s="183">
        <f t="shared" si="529"/>
        <v>3410</v>
      </c>
      <c r="J1316" s="183">
        <f t="shared" si="529"/>
        <v>3410</v>
      </c>
      <c r="K1316" s="183">
        <v>3410</v>
      </c>
      <c r="L1316" s="183">
        <v>3410</v>
      </c>
      <c r="M1316" s="183">
        <v>3410</v>
      </c>
      <c r="N1316" s="183"/>
      <c r="O1316" s="183">
        <v>3410</v>
      </c>
      <c r="P1316" s="183">
        <v>3410</v>
      </c>
      <c r="Q1316" s="183">
        <v>3410</v>
      </c>
      <c r="R1316" s="472">
        <f t="shared" si="526"/>
        <v>0</v>
      </c>
      <c r="S1316" s="472">
        <f t="shared" si="527"/>
        <v>0</v>
      </c>
      <c r="T1316" s="472">
        <f t="shared" si="528"/>
        <v>0</v>
      </c>
      <c r="U1316" s="182" t="s">
        <v>656</v>
      </c>
      <c r="V1316" s="36" t="s">
        <v>15</v>
      </c>
      <c r="W1316" s="37" t="s">
        <v>82</v>
      </c>
      <c r="X1316" s="37" t="s">
        <v>98</v>
      </c>
      <c r="Y1316" s="57" t="s">
        <v>279</v>
      </c>
      <c r="Z1316" s="37" t="s">
        <v>90</v>
      </c>
      <c r="AA1316" s="12" t="b">
        <f t="shared" si="514"/>
        <v>1</v>
      </c>
      <c r="AB1316" s="12" t="b">
        <f t="shared" si="515"/>
        <v>1</v>
      </c>
      <c r="AC1316" s="12" t="b">
        <f t="shared" si="516"/>
        <v>1</v>
      </c>
      <c r="AD1316" s="12" t="b">
        <f t="shared" si="517"/>
        <v>1</v>
      </c>
      <c r="AE1316" s="12" t="b">
        <f t="shared" si="518"/>
        <v>1</v>
      </c>
      <c r="AF1316" s="12" t="b">
        <f t="shared" si="519"/>
        <v>1</v>
      </c>
    </row>
    <row r="1317" spans="1:32" s="12" customFormat="1" ht="15.75" customHeight="1">
      <c r="A1317" s="285"/>
      <c r="B1317" s="182" t="s">
        <v>219</v>
      </c>
      <c r="C1317" s="36" t="s">
        <v>15</v>
      </c>
      <c r="D1317" s="37" t="s">
        <v>82</v>
      </c>
      <c r="E1317" s="37" t="s">
        <v>98</v>
      </c>
      <c r="F1317" s="57" t="s">
        <v>280</v>
      </c>
      <c r="G1317" s="37" t="s">
        <v>90</v>
      </c>
      <c r="H1317" s="183">
        <f t="shared" ref="H1317:J1319" si="530">H1318</f>
        <v>3410</v>
      </c>
      <c r="I1317" s="183">
        <f t="shared" si="530"/>
        <v>3410</v>
      </c>
      <c r="J1317" s="183">
        <f t="shared" si="530"/>
        <v>3410</v>
      </c>
      <c r="K1317" s="183">
        <v>3410</v>
      </c>
      <c r="L1317" s="183">
        <v>3410</v>
      </c>
      <c r="M1317" s="183">
        <v>3410</v>
      </c>
      <c r="N1317" s="183"/>
      <c r="O1317" s="183">
        <v>3410</v>
      </c>
      <c r="P1317" s="183">
        <v>3410</v>
      </c>
      <c r="Q1317" s="183">
        <v>3410</v>
      </c>
      <c r="R1317" s="472">
        <f t="shared" si="526"/>
        <v>0</v>
      </c>
      <c r="S1317" s="472">
        <f t="shared" si="527"/>
        <v>0</v>
      </c>
      <c r="T1317" s="472">
        <f t="shared" si="528"/>
        <v>0</v>
      </c>
      <c r="U1317" s="182" t="s">
        <v>219</v>
      </c>
      <c r="V1317" s="36" t="s">
        <v>15</v>
      </c>
      <c r="W1317" s="37" t="s">
        <v>82</v>
      </c>
      <c r="X1317" s="37" t="s">
        <v>98</v>
      </c>
      <c r="Y1317" s="57" t="s">
        <v>280</v>
      </c>
      <c r="Z1317" s="37" t="s">
        <v>90</v>
      </c>
      <c r="AA1317" s="12" t="b">
        <f t="shared" si="514"/>
        <v>1</v>
      </c>
      <c r="AB1317" s="12" t="b">
        <f t="shared" si="515"/>
        <v>1</v>
      </c>
      <c r="AC1317" s="12" t="b">
        <f t="shared" si="516"/>
        <v>1</v>
      </c>
      <c r="AD1317" s="12" t="b">
        <f t="shared" si="517"/>
        <v>1</v>
      </c>
      <c r="AE1317" s="12" t="b">
        <f t="shared" si="518"/>
        <v>1</v>
      </c>
      <c r="AF1317" s="12" t="b">
        <f t="shared" si="519"/>
        <v>1</v>
      </c>
    </row>
    <row r="1318" spans="1:32" s="12" customFormat="1" ht="15.75" customHeight="1">
      <c r="A1318" s="285"/>
      <c r="B1318" s="182" t="s">
        <v>523</v>
      </c>
      <c r="C1318" s="36" t="s">
        <v>15</v>
      </c>
      <c r="D1318" s="37" t="s">
        <v>82</v>
      </c>
      <c r="E1318" s="37" t="s">
        <v>98</v>
      </c>
      <c r="F1318" s="57" t="s">
        <v>281</v>
      </c>
      <c r="G1318" s="37" t="s">
        <v>90</v>
      </c>
      <c r="H1318" s="183">
        <f t="shared" si="530"/>
        <v>3410</v>
      </c>
      <c r="I1318" s="183">
        <f t="shared" si="530"/>
        <v>3410</v>
      </c>
      <c r="J1318" s="183">
        <f t="shared" si="530"/>
        <v>3410</v>
      </c>
      <c r="K1318" s="183">
        <v>3410</v>
      </c>
      <c r="L1318" s="183">
        <v>3410</v>
      </c>
      <c r="M1318" s="183">
        <v>3410</v>
      </c>
      <c r="N1318" s="183"/>
      <c r="O1318" s="183">
        <v>3410</v>
      </c>
      <c r="P1318" s="183">
        <v>3410</v>
      </c>
      <c r="Q1318" s="183">
        <v>3410</v>
      </c>
      <c r="R1318" s="472">
        <f t="shared" si="526"/>
        <v>0</v>
      </c>
      <c r="S1318" s="472">
        <f t="shared" si="527"/>
        <v>0</v>
      </c>
      <c r="T1318" s="472">
        <f t="shared" si="528"/>
        <v>0</v>
      </c>
      <c r="U1318" s="182" t="s">
        <v>523</v>
      </c>
      <c r="V1318" s="36" t="s">
        <v>15</v>
      </c>
      <c r="W1318" s="37" t="s">
        <v>82</v>
      </c>
      <c r="X1318" s="37" t="s">
        <v>98</v>
      </c>
      <c r="Y1318" s="57" t="s">
        <v>281</v>
      </c>
      <c r="Z1318" s="37" t="s">
        <v>90</v>
      </c>
      <c r="AA1318" s="12" t="b">
        <f t="shared" si="514"/>
        <v>1</v>
      </c>
      <c r="AB1318" s="12" t="b">
        <f t="shared" si="515"/>
        <v>1</v>
      </c>
      <c r="AC1318" s="12" t="b">
        <f t="shared" si="516"/>
        <v>1</v>
      </c>
      <c r="AD1318" s="12" t="b">
        <f t="shared" si="517"/>
        <v>1</v>
      </c>
      <c r="AE1318" s="12" t="b">
        <f t="shared" si="518"/>
        <v>1</v>
      </c>
      <c r="AF1318" s="12" t="b">
        <f t="shared" si="519"/>
        <v>1</v>
      </c>
    </row>
    <row r="1319" spans="1:32" s="12" customFormat="1" ht="15.75" customHeight="1">
      <c r="A1319" s="285"/>
      <c r="B1319" s="182" t="s">
        <v>189</v>
      </c>
      <c r="C1319" s="36" t="s">
        <v>15</v>
      </c>
      <c r="D1319" s="37" t="s">
        <v>82</v>
      </c>
      <c r="E1319" s="37" t="s">
        <v>98</v>
      </c>
      <c r="F1319" s="57" t="s">
        <v>307</v>
      </c>
      <c r="G1319" s="37" t="s">
        <v>90</v>
      </c>
      <c r="H1319" s="183">
        <f t="shared" si="530"/>
        <v>3410</v>
      </c>
      <c r="I1319" s="183">
        <f t="shared" si="530"/>
        <v>3410</v>
      </c>
      <c r="J1319" s="183">
        <f t="shared" si="530"/>
        <v>3410</v>
      </c>
      <c r="K1319" s="183">
        <v>3410</v>
      </c>
      <c r="L1319" s="183">
        <v>3410</v>
      </c>
      <c r="M1319" s="183">
        <v>3410</v>
      </c>
      <c r="N1319" s="183"/>
      <c r="O1319" s="183">
        <v>3410</v>
      </c>
      <c r="P1319" s="183">
        <v>3410</v>
      </c>
      <c r="Q1319" s="183">
        <v>3410</v>
      </c>
      <c r="R1319" s="472">
        <f t="shared" si="526"/>
        <v>0</v>
      </c>
      <c r="S1319" s="472">
        <f t="shared" si="527"/>
        <v>0</v>
      </c>
      <c r="T1319" s="472">
        <f t="shared" si="528"/>
        <v>0</v>
      </c>
      <c r="U1319" s="182" t="s">
        <v>189</v>
      </c>
      <c r="V1319" s="36" t="s">
        <v>15</v>
      </c>
      <c r="W1319" s="37" t="s">
        <v>82</v>
      </c>
      <c r="X1319" s="37" t="s">
        <v>98</v>
      </c>
      <c r="Y1319" s="57" t="s">
        <v>307</v>
      </c>
      <c r="Z1319" s="37" t="s">
        <v>90</v>
      </c>
      <c r="AA1319" s="12" t="b">
        <f t="shared" si="514"/>
        <v>1</v>
      </c>
      <c r="AB1319" s="12" t="b">
        <f t="shared" si="515"/>
        <v>1</v>
      </c>
      <c r="AC1319" s="12" t="b">
        <f t="shared" si="516"/>
        <v>1</v>
      </c>
      <c r="AD1319" s="12" t="b">
        <f t="shared" si="517"/>
        <v>1</v>
      </c>
      <c r="AE1319" s="12" t="b">
        <f t="shared" si="518"/>
        <v>1</v>
      </c>
      <c r="AF1319" s="12" t="b">
        <f t="shared" si="519"/>
        <v>1</v>
      </c>
    </row>
    <row r="1320" spans="1:32" s="12" customFormat="1" ht="15.75" customHeight="1">
      <c r="A1320" s="285"/>
      <c r="B1320" s="182" t="s">
        <v>145</v>
      </c>
      <c r="C1320" s="36" t="s">
        <v>15</v>
      </c>
      <c r="D1320" s="37" t="s">
        <v>82</v>
      </c>
      <c r="E1320" s="37" t="s">
        <v>98</v>
      </c>
      <c r="F1320" s="37" t="s">
        <v>307</v>
      </c>
      <c r="G1320" s="37" t="s">
        <v>153</v>
      </c>
      <c r="H1320" s="183">
        <v>3410</v>
      </c>
      <c r="I1320" s="183">
        <v>3410</v>
      </c>
      <c r="J1320" s="183">
        <v>3410</v>
      </c>
      <c r="K1320" s="183">
        <v>3410</v>
      </c>
      <c r="L1320" s="183">
        <v>3410</v>
      </c>
      <c r="M1320" s="183">
        <v>3410</v>
      </c>
      <c r="N1320" s="183"/>
      <c r="O1320" s="183">
        <v>3410</v>
      </c>
      <c r="P1320" s="183">
        <v>3410</v>
      </c>
      <c r="Q1320" s="183">
        <v>3410</v>
      </c>
      <c r="R1320" s="472">
        <f t="shared" si="526"/>
        <v>0</v>
      </c>
      <c r="S1320" s="472">
        <f t="shared" si="527"/>
        <v>0</v>
      </c>
      <c r="T1320" s="472">
        <f t="shared" si="528"/>
        <v>0</v>
      </c>
      <c r="U1320" s="182" t="s">
        <v>145</v>
      </c>
      <c r="V1320" s="36" t="s">
        <v>15</v>
      </c>
      <c r="W1320" s="37" t="s">
        <v>82</v>
      </c>
      <c r="X1320" s="37" t="s">
        <v>98</v>
      </c>
      <c r="Y1320" s="37" t="s">
        <v>307</v>
      </c>
      <c r="Z1320" s="37" t="s">
        <v>153</v>
      </c>
      <c r="AA1320" s="12" t="b">
        <f t="shared" si="514"/>
        <v>1</v>
      </c>
      <c r="AB1320" s="12" t="b">
        <f t="shared" si="515"/>
        <v>1</v>
      </c>
      <c r="AC1320" s="12" t="b">
        <f t="shared" si="516"/>
        <v>1</v>
      </c>
      <c r="AD1320" s="12" t="b">
        <f t="shared" si="517"/>
        <v>1</v>
      </c>
      <c r="AE1320" s="12" t="b">
        <f t="shared" si="518"/>
        <v>1</v>
      </c>
      <c r="AF1320" s="12" t="b">
        <f t="shared" si="519"/>
        <v>1</v>
      </c>
    </row>
    <row r="1321" spans="1:32" s="12" customFormat="1" ht="15.75" customHeight="1">
      <c r="A1321" s="285"/>
      <c r="B1321" s="54"/>
      <c r="C1321" s="56"/>
      <c r="D1321" s="57"/>
      <c r="E1321" s="57"/>
      <c r="F1321" s="57"/>
      <c r="G1321" s="57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472">
        <f t="shared" si="526"/>
        <v>0</v>
      </c>
      <c r="S1321" s="472">
        <f t="shared" si="527"/>
        <v>0</v>
      </c>
      <c r="T1321" s="472">
        <f t="shared" si="528"/>
        <v>0</v>
      </c>
      <c r="U1321" s="54"/>
      <c r="V1321" s="56"/>
      <c r="W1321" s="57"/>
      <c r="X1321" s="57"/>
      <c r="Y1321" s="57"/>
      <c r="Z1321" s="57"/>
      <c r="AA1321" s="12" t="b">
        <f t="shared" si="514"/>
        <v>1</v>
      </c>
      <c r="AB1321" s="12" t="b">
        <f t="shared" si="515"/>
        <v>1</v>
      </c>
      <c r="AC1321" s="12" t="b">
        <f t="shared" si="516"/>
        <v>1</v>
      </c>
      <c r="AD1321" s="12" t="b">
        <f t="shared" si="517"/>
        <v>1</v>
      </c>
      <c r="AE1321" s="12" t="b">
        <f t="shared" si="518"/>
        <v>1</v>
      </c>
      <c r="AF1321" s="12" t="b">
        <f t="shared" si="519"/>
        <v>1</v>
      </c>
    </row>
    <row r="1322" spans="1:32" s="12" customFormat="1" ht="15.75" customHeight="1">
      <c r="A1322" s="285"/>
      <c r="B1322" s="42" t="s">
        <v>206</v>
      </c>
      <c r="C1322" s="25" t="s">
        <v>465</v>
      </c>
      <c r="D1322" s="26" t="s">
        <v>83</v>
      </c>
      <c r="E1322" s="26" t="s">
        <v>83</v>
      </c>
      <c r="F1322" s="26" t="s">
        <v>223</v>
      </c>
      <c r="G1322" s="26" t="s">
        <v>90</v>
      </c>
      <c r="H1322" s="43">
        <f t="shared" ref="H1322:J1322" si="531">H1323</f>
        <v>126594.92</v>
      </c>
      <c r="I1322" s="43">
        <f t="shared" si="531"/>
        <v>126660.93</v>
      </c>
      <c r="J1322" s="43">
        <f t="shared" si="531"/>
        <v>126729.57999999999</v>
      </c>
      <c r="K1322" s="43">
        <v>126594.92</v>
      </c>
      <c r="L1322" s="43">
        <v>126660.93</v>
      </c>
      <c r="M1322" s="43">
        <v>126729.57999999999</v>
      </c>
      <c r="N1322" s="43"/>
      <c r="O1322" s="43">
        <v>126554.45999999999</v>
      </c>
      <c r="P1322" s="43">
        <v>126620.46999999999</v>
      </c>
      <c r="Q1322" s="43">
        <v>126689.11999999998</v>
      </c>
      <c r="R1322" s="472">
        <f t="shared" si="526"/>
        <v>40.460000000006403</v>
      </c>
      <c r="S1322" s="472">
        <f t="shared" si="527"/>
        <v>40.460000000006403</v>
      </c>
      <c r="T1322" s="472">
        <f t="shared" si="528"/>
        <v>40.460000000006403</v>
      </c>
      <c r="U1322" s="42" t="s">
        <v>206</v>
      </c>
      <c r="V1322" s="25" t="s">
        <v>465</v>
      </c>
      <c r="W1322" s="26" t="s">
        <v>83</v>
      </c>
      <c r="X1322" s="26" t="s">
        <v>83</v>
      </c>
      <c r="Y1322" s="26" t="s">
        <v>223</v>
      </c>
      <c r="Z1322" s="26" t="s">
        <v>90</v>
      </c>
      <c r="AA1322" s="12" t="b">
        <f t="shared" si="514"/>
        <v>1</v>
      </c>
      <c r="AB1322" s="12" t="b">
        <f t="shared" si="515"/>
        <v>1</v>
      </c>
      <c r="AC1322" s="12" t="b">
        <f t="shared" si="516"/>
        <v>1</v>
      </c>
      <c r="AD1322" s="12" t="b">
        <f t="shared" si="517"/>
        <v>1</v>
      </c>
      <c r="AE1322" s="12" t="b">
        <f t="shared" si="518"/>
        <v>1</v>
      </c>
      <c r="AF1322" s="12" t="b">
        <f t="shared" si="519"/>
        <v>1</v>
      </c>
    </row>
    <row r="1323" spans="1:32" s="12" customFormat="1" ht="15.75" customHeight="1">
      <c r="A1323" s="285"/>
      <c r="B1323" s="28" t="s">
        <v>12</v>
      </c>
      <c r="C1323" s="29" t="s">
        <v>465</v>
      </c>
      <c r="D1323" s="30" t="s">
        <v>85</v>
      </c>
      <c r="E1323" s="30" t="s">
        <v>83</v>
      </c>
      <c r="F1323" s="30" t="s">
        <v>223</v>
      </c>
      <c r="G1323" s="30" t="s">
        <v>90</v>
      </c>
      <c r="H1323" s="31">
        <f>H1324</f>
        <v>126594.92</v>
      </c>
      <c r="I1323" s="31">
        <f>I1324</f>
        <v>126660.93</v>
      </c>
      <c r="J1323" s="31">
        <f>J1324</f>
        <v>126729.57999999999</v>
      </c>
      <c r="K1323" s="31">
        <v>126594.92</v>
      </c>
      <c r="L1323" s="31">
        <v>126660.93</v>
      </c>
      <c r="M1323" s="31">
        <v>126729.57999999999</v>
      </c>
      <c r="N1323" s="31"/>
      <c r="O1323" s="31">
        <v>126554.45999999999</v>
      </c>
      <c r="P1323" s="31">
        <v>126620.46999999999</v>
      </c>
      <c r="Q1323" s="31">
        <v>126689.11999999998</v>
      </c>
      <c r="R1323" s="472">
        <f t="shared" si="526"/>
        <v>40.460000000006403</v>
      </c>
      <c r="S1323" s="472">
        <f t="shared" si="527"/>
        <v>40.460000000006403</v>
      </c>
      <c r="T1323" s="472">
        <f t="shared" si="528"/>
        <v>40.460000000006403</v>
      </c>
      <c r="U1323" s="28" t="s">
        <v>12</v>
      </c>
      <c r="V1323" s="29" t="s">
        <v>465</v>
      </c>
      <c r="W1323" s="30" t="s">
        <v>85</v>
      </c>
      <c r="X1323" s="30" t="s">
        <v>83</v>
      </c>
      <c r="Y1323" s="30" t="s">
        <v>223</v>
      </c>
      <c r="Z1323" s="30" t="s">
        <v>90</v>
      </c>
      <c r="AA1323" s="12" t="b">
        <f t="shared" si="514"/>
        <v>1</v>
      </c>
      <c r="AB1323" s="12" t="b">
        <f t="shared" si="515"/>
        <v>1</v>
      </c>
      <c r="AC1323" s="12" t="b">
        <f t="shared" si="516"/>
        <v>1</v>
      </c>
      <c r="AD1323" s="12" t="b">
        <f t="shared" si="517"/>
        <v>1</v>
      </c>
      <c r="AE1323" s="12" t="b">
        <f t="shared" si="518"/>
        <v>1</v>
      </c>
      <c r="AF1323" s="12" t="b">
        <f t="shared" si="519"/>
        <v>1</v>
      </c>
    </row>
    <row r="1324" spans="1:32" s="12" customFormat="1" ht="15.75" customHeight="1">
      <c r="A1324" s="285"/>
      <c r="B1324" s="32" t="s">
        <v>1001</v>
      </c>
      <c r="C1324" s="33" t="s">
        <v>465</v>
      </c>
      <c r="D1324" s="34" t="s">
        <v>85</v>
      </c>
      <c r="E1324" s="34" t="s">
        <v>13</v>
      </c>
      <c r="F1324" s="34" t="s">
        <v>223</v>
      </c>
      <c r="G1324" s="34" t="s">
        <v>90</v>
      </c>
      <c r="H1324" s="35">
        <f>H1325+H1358</f>
        <v>126594.92</v>
      </c>
      <c r="I1324" s="35">
        <f>I1325+I1358</f>
        <v>126660.93</v>
      </c>
      <c r="J1324" s="35">
        <f>J1325+J1358</f>
        <v>126729.57999999999</v>
      </c>
      <c r="K1324" s="35">
        <v>126594.92</v>
      </c>
      <c r="L1324" s="35">
        <v>126660.93</v>
      </c>
      <c r="M1324" s="35">
        <v>126729.57999999999</v>
      </c>
      <c r="N1324" s="35"/>
      <c r="O1324" s="35">
        <v>126554.45999999999</v>
      </c>
      <c r="P1324" s="35">
        <v>126620.46999999999</v>
      </c>
      <c r="Q1324" s="35">
        <v>126689.11999999998</v>
      </c>
      <c r="R1324" s="472">
        <f t="shared" si="526"/>
        <v>40.460000000006403</v>
      </c>
      <c r="S1324" s="472">
        <f t="shared" si="527"/>
        <v>40.460000000006403</v>
      </c>
      <c r="T1324" s="472">
        <f t="shared" si="528"/>
        <v>40.460000000006403</v>
      </c>
      <c r="U1324" s="32" t="s">
        <v>1001</v>
      </c>
      <c r="V1324" s="33" t="s">
        <v>465</v>
      </c>
      <c r="W1324" s="34" t="s">
        <v>85</v>
      </c>
      <c r="X1324" s="34" t="s">
        <v>13</v>
      </c>
      <c r="Y1324" s="34" t="s">
        <v>223</v>
      </c>
      <c r="Z1324" s="34" t="s">
        <v>90</v>
      </c>
      <c r="AA1324" s="12" t="b">
        <f t="shared" si="514"/>
        <v>1</v>
      </c>
      <c r="AB1324" s="12" t="b">
        <f t="shared" si="515"/>
        <v>1</v>
      </c>
      <c r="AC1324" s="12" t="b">
        <f t="shared" si="516"/>
        <v>1</v>
      </c>
      <c r="AD1324" s="12" t="b">
        <f t="shared" si="517"/>
        <v>1</v>
      </c>
      <c r="AE1324" s="12" t="b">
        <f t="shared" si="518"/>
        <v>1</v>
      </c>
      <c r="AF1324" s="12" t="b">
        <f t="shared" si="519"/>
        <v>1</v>
      </c>
    </row>
    <row r="1325" spans="1:32" s="12" customFormat="1" ht="15.75" customHeight="1">
      <c r="A1325" s="285"/>
      <c r="B1325" s="182" t="s">
        <v>1165</v>
      </c>
      <c r="C1325" s="36" t="s">
        <v>465</v>
      </c>
      <c r="D1325" s="37" t="s">
        <v>85</v>
      </c>
      <c r="E1325" s="37" t="s">
        <v>13</v>
      </c>
      <c r="F1325" s="37" t="s">
        <v>323</v>
      </c>
      <c r="G1325" s="37" t="s">
        <v>90</v>
      </c>
      <c r="H1325" s="183">
        <f>H1326+H1335+H1339+H1354</f>
        <v>105859.72</v>
      </c>
      <c r="I1325" s="183">
        <f>I1326+I1335+I1339+I1354</f>
        <v>105925.73</v>
      </c>
      <c r="J1325" s="183">
        <f>J1326+J1335+J1339+J1354</f>
        <v>105994.37999999999</v>
      </c>
      <c r="K1325" s="183">
        <v>105859.72</v>
      </c>
      <c r="L1325" s="183">
        <v>105925.73</v>
      </c>
      <c r="M1325" s="183">
        <v>105994.37999999999</v>
      </c>
      <c r="N1325" s="183"/>
      <c r="O1325" s="183">
        <v>105819.26</v>
      </c>
      <c r="P1325" s="183">
        <v>105885.26999999999</v>
      </c>
      <c r="Q1325" s="183">
        <v>105953.91999999998</v>
      </c>
      <c r="R1325" s="472">
        <f t="shared" si="526"/>
        <v>40.460000000006403</v>
      </c>
      <c r="S1325" s="472">
        <f t="shared" si="527"/>
        <v>40.460000000006403</v>
      </c>
      <c r="T1325" s="472">
        <f t="shared" si="528"/>
        <v>40.460000000006403</v>
      </c>
      <c r="U1325" s="182" t="s">
        <v>1165</v>
      </c>
      <c r="V1325" s="36" t="s">
        <v>465</v>
      </c>
      <c r="W1325" s="37" t="s">
        <v>85</v>
      </c>
      <c r="X1325" s="37" t="s">
        <v>13</v>
      </c>
      <c r="Y1325" s="37" t="s">
        <v>323</v>
      </c>
      <c r="Z1325" s="37" t="s">
        <v>90</v>
      </c>
      <c r="AA1325" s="12" t="b">
        <f t="shared" si="514"/>
        <v>1</v>
      </c>
      <c r="AB1325" s="12" t="b">
        <f t="shared" si="515"/>
        <v>1</v>
      </c>
      <c r="AC1325" s="12" t="b">
        <f t="shared" si="516"/>
        <v>1</v>
      </c>
      <c r="AD1325" s="12" t="b">
        <f t="shared" si="517"/>
        <v>1</v>
      </c>
      <c r="AE1325" s="12" t="b">
        <f t="shared" si="518"/>
        <v>1</v>
      </c>
      <c r="AF1325" s="12" t="b">
        <f t="shared" si="519"/>
        <v>1</v>
      </c>
    </row>
    <row r="1326" spans="1:32" s="55" customFormat="1" ht="15.75" customHeight="1">
      <c r="A1326" s="295"/>
      <c r="B1326" s="182" t="s">
        <v>1215</v>
      </c>
      <c r="C1326" s="36" t="s">
        <v>465</v>
      </c>
      <c r="D1326" s="37" t="s">
        <v>85</v>
      </c>
      <c r="E1326" s="37" t="s">
        <v>13</v>
      </c>
      <c r="F1326" s="37" t="s">
        <v>470</v>
      </c>
      <c r="G1326" s="37" t="s">
        <v>90</v>
      </c>
      <c r="H1326" s="183">
        <f>H1327+H1330</f>
        <v>52607.920000000006</v>
      </c>
      <c r="I1326" s="183">
        <f t="shared" ref="I1326:J1326" si="532">I1327+I1330</f>
        <v>52673.360000000008</v>
      </c>
      <c r="J1326" s="183">
        <f t="shared" si="532"/>
        <v>52741.420000000006</v>
      </c>
      <c r="K1326" s="183">
        <v>52607.920000000006</v>
      </c>
      <c r="L1326" s="183">
        <v>52673.360000000008</v>
      </c>
      <c r="M1326" s="183">
        <v>52741.420000000006</v>
      </c>
      <c r="N1326" s="183"/>
      <c r="O1326" s="183">
        <v>52840.409999999996</v>
      </c>
      <c r="P1326" s="183">
        <v>52905.85</v>
      </c>
      <c r="Q1326" s="183">
        <v>52973.909999999996</v>
      </c>
      <c r="R1326" s="472">
        <f t="shared" si="526"/>
        <v>-232.48999999999069</v>
      </c>
      <c r="S1326" s="472">
        <f t="shared" si="527"/>
        <v>-232.48999999999069</v>
      </c>
      <c r="T1326" s="472">
        <f t="shared" si="528"/>
        <v>-232.48999999999069</v>
      </c>
      <c r="U1326" s="495" t="s">
        <v>1215</v>
      </c>
      <c r="V1326" s="36" t="s">
        <v>465</v>
      </c>
      <c r="W1326" s="37" t="s">
        <v>85</v>
      </c>
      <c r="X1326" s="37" t="s">
        <v>13</v>
      </c>
      <c r="Y1326" s="37" t="s">
        <v>470</v>
      </c>
      <c r="Z1326" s="37" t="s">
        <v>90</v>
      </c>
      <c r="AA1326" s="12" t="b">
        <f t="shared" si="514"/>
        <v>1</v>
      </c>
      <c r="AB1326" s="12" t="b">
        <f t="shared" si="515"/>
        <v>1</v>
      </c>
      <c r="AC1326" s="12" t="b">
        <f t="shared" si="516"/>
        <v>1</v>
      </c>
      <c r="AD1326" s="12" t="b">
        <f t="shared" si="517"/>
        <v>1</v>
      </c>
      <c r="AE1326" s="12" t="b">
        <f t="shared" si="518"/>
        <v>1</v>
      </c>
      <c r="AF1326" s="12" t="b">
        <f t="shared" si="519"/>
        <v>1</v>
      </c>
    </row>
    <row r="1327" spans="1:32" s="12" customFormat="1" ht="15.75" customHeight="1">
      <c r="A1327" s="285"/>
      <c r="B1327" s="182" t="s">
        <v>539</v>
      </c>
      <c r="C1327" s="36" t="s">
        <v>465</v>
      </c>
      <c r="D1327" s="37" t="s">
        <v>85</v>
      </c>
      <c r="E1327" s="37" t="s">
        <v>13</v>
      </c>
      <c r="F1327" s="37" t="s">
        <v>471</v>
      </c>
      <c r="G1327" s="37" t="s">
        <v>90</v>
      </c>
      <c r="H1327" s="183">
        <f t="shared" ref="H1327:J1328" si="533">H1328</f>
        <v>100</v>
      </c>
      <c r="I1327" s="183">
        <f t="shared" si="533"/>
        <v>100</v>
      </c>
      <c r="J1327" s="183">
        <f t="shared" si="533"/>
        <v>100</v>
      </c>
      <c r="K1327" s="183">
        <v>100</v>
      </c>
      <c r="L1327" s="183">
        <v>100</v>
      </c>
      <c r="M1327" s="183">
        <v>100</v>
      </c>
      <c r="N1327" s="183"/>
      <c r="O1327" s="183">
        <v>100</v>
      </c>
      <c r="P1327" s="183">
        <v>100</v>
      </c>
      <c r="Q1327" s="183">
        <v>100</v>
      </c>
      <c r="R1327" s="472">
        <f t="shared" si="526"/>
        <v>0</v>
      </c>
      <c r="S1327" s="472">
        <f t="shared" si="527"/>
        <v>0</v>
      </c>
      <c r="T1327" s="472">
        <f t="shared" si="528"/>
        <v>0</v>
      </c>
      <c r="U1327" s="182" t="s">
        <v>539</v>
      </c>
      <c r="V1327" s="36" t="s">
        <v>465</v>
      </c>
      <c r="W1327" s="37" t="s">
        <v>85</v>
      </c>
      <c r="X1327" s="37" t="s">
        <v>13</v>
      </c>
      <c r="Y1327" s="37" t="s">
        <v>471</v>
      </c>
      <c r="Z1327" s="37" t="s">
        <v>90</v>
      </c>
      <c r="AA1327" s="12" t="b">
        <f t="shared" si="514"/>
        <v>1</v>
      </c>
      <c r="AB1327" s="12" t="b">
        <f t="shared" si="515"/>
        <v>1</v>
      </c>
      <c r="AC1327" s="12" t="b">
        <f t="shared" si="516"/>
        <v>1</v>
      </c>
      <c r="AD1327" s="12" t="b">
        <f t="shared" si="517"/>
        <v>1</v>
      </c>
      <c r="AE1327" s="12" t="b">
        <f t="shared" si="518"/>
        <v>1</v>
      </c>
      <c r="AF1327" s="12" t="b">
        <f t="shared" si="519"/>
        <v>1</v>
      </c>
    </row>
    <row r="1328" spans="1:32" s="12" customFormat="1" ht="15.75" customHeight="1">
      <c r="A1328" s="285"/>
      <c r="B1328" s="46" t="s">
        <v>1234</v>
      </c>
      <c r="C1328" s="36" t="s">
        <v>465</v>
      </c>
      <c r="D1328" s="37" t="s">
        <v>85</v>
      </c>
      <c r="E1328" s="37" t="s">
        <v>13</v>
      </c>
      <c r="F1328" s="37" t="s">
        <v>472</v>
      </c>
      <c r="G1328" s="37" t="s">
        <v>90</v>
      </c>
      <c r="H1328" s="183">
        <f t="shared" si="533"/>
        <v>100</v>
      </c>
      <c r="I1328" s="183">
        <f t="shared" si="533"/>
        <v>100</v>
      </c>
      <c r="J1328" s="183">
        <f t="shared" si="533"/>
        <v>100</v>
      </c>
      <c r="K1328" s="183">
        <v>100</v>
      </c>
      <c r="L1328" s="183">
        <v>100</v>
      </c>
      <c r="M1328" s="183">
        <v>100</v>
      </c>
      <c r="N1328" s="183"/>
      <c r="O1328" s="183">
        <v>100</v>
      </c>
      <c r="P1328" s="183">
        <v>100</v>
      </c>
      <c r="Q1328" s="183">
        <v>100</v>
      </c>
      <c r="R1328" s="472">
        <f t="shared" si="526"/>
        <v>0</v>
      </c>
      <c r="S1328" s="472">
        <f t="shared" si="527"/>
        <v>0</v>
      </c>
      <c r="T1328" s="472">
        <f t="shared" si="528"/>
        <v>0</v>
      </c>
      <c r="U1328" s="46" t="s">
        <v>538</v>
      </c>
      <c r="V1328" s="36" t="s">
        <v>465</v>
      </c>
      <c r="W1328" s="37" t="s">
        <v>85</v>
      </c>
      <c r="X1328" s="37" t="s">
        <v>13</v>
      </c>
      <c r="Y1328" s="37" t="s">
        <v>472</v>
      </c>
      <c r="Z1328" s="37" t="s">
        <v>90</v>
      </c>
      <c r="AA1328" s="12" t="b">
        <f t="shared" si="514"/>
        <v>0</v>
      </c>
      <c r="AB1328" s="12" t="b">
        <f t="shared" si="515"/>
        <v>1</v>
      </c>
      <c r="AC1328" s="12" t="b">
        <f t="shared" si="516"/>
        <v>1</v>
      </c>
      <c r="AD1328" s="12" t="b">
        <f t="shared" si="517"/>
        <v>1</v>
      </c>
      <c r="AE1328" s="12" t="b">
        <f t="shared" si="518"/>
        <v>1</v>
      </c>
      <c r="AF1328" s="12" t="b">
        <f t="shared" si="519"/>
        <v>1</v>
      </c>
    </row>
    <row r="1329" spans="1:32" s="12" customFormat="1" ht="15.75" customHeight="1">
      <c r="A1329" s="285"/>
      <c r="B1329" s="182" t="s">
        <v>145</v>
      </c>
      <c r="C1329" s="36" t="s">
        <v>465</v>
      </c>
      <c r="D1329" s="37" t="s">
        <v>85</v>
      </c>
      <c r="E1329" s="37" t="s">
        <v>13</v>
      </c>
      <c r="F1329" s="37" t="s">
        <v>472</v>
      </c>
      <c r="G1329" s="37" t="s">
        <v>153</v>
      </c>
      <c r="H1329" s="183">
        <v>100</v>
      </c>
      <c r="I1329" s="183">
        <v>100</v>
      </c>
      <c r="J1329" s="183">
        <v>100</v>
      </c>
      <c r="K1329" s="183">
        <v>100</v>
      </c>
      <c r="L1329" s="183">
        <v>100</v>
      </c>
      <c r="M1329" s="183">
        <v>100</v>
      </c>
      <c r="N1329" s="183"/>
      <c r="O1329" s="183">
        <v>100</v>
      </c>
      <c r="P1329" s="183">
        <v>100</v>
      </c>
      <c r="Q1329" s="183">
        <v>100</v>
      </c>
      <c r="R1329" s="472">
        <f t="shared" si="526"/>
        <v>0</v>
      </c>
      <c r="S1329" s="472">
        <f t="shared" si="527"/>
        <v>0</v>
      </c>
      <c r="T1329" s="472">
        <f t="shared" si="528"/>
        <v>0</v>
      </c>
      <c r="U1329" s="182" t="s">
        <v>145</v>
      </c>
      <c r="V1329" s="36" t="s">
        <v>465</v>
      </c>
      <c r="W1329" s="37" t="s">
        <v>85</v>
      </c>
      <c r="X1329" s="37" t="s">
        <v>13</v>
      </c>
      <c r="Y1329" s="37" t="s">
        <v>472</v>
      </c>
      <c r="Z1329" s="37" t="s">
        <v>153</v>
      </c>
      <c r="AA1329" s="12" t="b">
        <f t="shared" si="514"/>
        <v>1</v>
      </c>
      <c r="AB1329" s="12" t="b">
        <f t="shared" si="515"/>
        <v>1</v>
      </c>
      <c r="AC1329" s="12" t="b">
        <f t="shared" si="516"/>
        <v>1</v>
      </c>
      <c r="AD1329" s="12" t="b">
        <f t="shared" si="517"/>
        <v>1</v>
      </c>
      <c r="AE1329" s="12" t="b">
        <f t="shared" si="518"/>
        <v>1</v>
      </c>
      <c r="AF1329" s="12" t="b">
        <f t="shared" si="519"/>
        <v>1</v>
      </c>
    </row>
    <row r="1330" spans="1:32" s="12" customFormat="1" ht="15.75" customHeight="1">
      <c r="A1330" s="285"/>
      <c r="B1330" s="178" t="s">
        <v>1235</v>
      </c>
      <c r="C1330" s="36" t="s">
        <v>465</v>
      </c>
      <c r="D1330" s="37" t="s">
        <v>85</v>
      </c>
      <c r="E1330" s="37" t="s">
        <v>13</v>
      </c>
      <c r="F1330" s="37" t="s">
        <v>473</v>
      </c>
      <c r="G1330" s="37" t="s">
        <v>90</v>
      </c>
      <c r="H1330" s="183">
        <f t="shared" ref="H1330:J1330" si="534">H1331</f>
        <v>52507.920000000006</v>
      </c>
      <c r="I1330" s="183">
        <f t="shared" si="534"/>
        <v>52573.360000000008</v>
      </c>
      <c r="J1330" s="183">
        <f t="shared" si="534"/>
        <v>52641.420000000006</v>
      </c>
      <c r="K1330" s="183">
        <v>52507.920000000006</v>
      </c>
      <c r="L1330" s="183">
        <v>52573.360000000008</v>
      </c>
      <c r="M1330" s="183">
        <v>52641.420000000006</v>
      </c>
      <c r="N1330" s="183"/>
      <c r="O1330" s="183">
        <v>52467.46</v>
      </c>
      <c r="P1330" s="183">
        <v>52532.9</v>
      </c>
      <c r="Q1330" s="183">
        <v>52600.959999999999</v>
      </c>
      <c r="R1330" s="472">
        <f t="shared" si="526"/>
        <v>40.460000000006403</v>
      </c>
      <c r="S1330" s="472">
        <f t="shared" si="527"/>
        <v>40.460000000006403</v>
      </c>
      <c r="T1330" s="472">
        <f t="shared" si="528"/>
        <v>40.460000000006403</v>
      </c>
      <c r="U1330" s="46" t="s">
        <v>741</v>
      </c>
      <c r="V1330" s="36" t="s">
        <v>465</v>
      </c>
      <c r="W1330" s="37" t="s">
        <v>85</v>
      </c>
      <c r="X1330" s="37" t="s">
        <v>13</v>
      </c>
      <c r="Y1330" s="37" t="s">
        <v>473</v>
      </c>
      <c r="Z1330" s="37" t="s">
        <v>90</v>
      </c>
      <c r="AA1330" s="12" t="b">
        <f t="shared" si="514"/>
        <v>0</v>
      </c>
      <c r="AB1330" s="12" t="b">
        <f t="shared" si="515"/>
        <v>1</v>
      </c>
      <c r="AC1330" s="12" t="b">
        <f t="shared" si="516"/>
        <v>1</v>
      </c>
      <c r="AD1330" s="12" t="b">
        <f t="shared" si="517"/>
        <v>1</v>
      </c>
      <c r="AE1330" s="12" t="b">
        <f t="shared" si="518"/>
        <v>1</v>
      </c>
      <c r="AF1330" s="12" t="b">
        <f t="shared" si="519"/>
        <v>1</v>
      </c>
    </row>
    <row r="1331" spans="1:32" s="12" customFormat="1" ht="15.75" customHeight="1">
      <c r="A1331" s="285"/>
      <c r="B1331" s="46" t="s">
        <v>254</v>
      </c>
      <c r="C1331" s="36" t="s">
        <v>465</v>
      </c>
      <c r="D1331" s="37" t="s">
        <v>85</v>
      </c>
      <c r="E1331" s="37" t="s">
        <v>13</v>
      </c>
      <c r="F1331" s="37" t="s">
        <v>713</v>
      </c>
      <c r="G1331" s="37" t="s">
        <v>90</v>
      </c>
      <c r="H1331" s="183">
        <f>SUM(H1332:H1334)</f>
        <v>52507.920000000006</v>
      </c>
      <c r="I1331" s="183">
        <f>SUM(I1332:I1334)</f>
        <v>52573.360000000008</v>
      </c>
      <c r="J1331" s="183">
        <f>SUM(J1332:J1334)</f>
        <v>52641.420000000006</v>
      </c>
      <c r="K1331" s="183">
        <v>52507.920000000006</v>
      </c>
      <c r="L1331" s="183">
        <v>52573.360000000008</v>
      </c>
      <c r="M1331" s="183">
        <v>52641.420000000006</v>
      </c>
      <c r="N1331" s="183"/>
      <c r="O1331" s="183">
        <v>52467.46</v>
      </c>
      <c r="P1331" s="183">
        <v>52532.9</v>
      </c>
      <c r="Q1331" s="183">
        <v>52600.959999999999</v>
      </c>
      <c r="R1331" s="472">
        <f t="shared" si="526"/>
        <v>40.460000000006403</v>
      </c>
      <c r="S1331" s="472">
        <f t="shared" si="527"/>
        <v>40.460000000006403</v>
      </c>
      <c r="T1331" s="472">
        <f t="shared" si="528"/>
        <v>40.460000000006403</v>
      </c>
      <c r="U1331" s="46" t="s">
        <v>254</v>
      </c>
      <c r="V1331" s="36" t="s">
        <v>465</v>
      </c>
      <c r="W1331" s="37" t="s">
        <v>85</v>
      </c>
      <c r="X1331" s="37" t="s">
        <v>13</v>
      </c>
      <c r="Y1331" s="37" t="s">
        <v>713</v>
      </c>
      <c r="Z1331" s="37" t="s">
        <v>90</v>
      </c>
      <c r="AA1331" s="12" t="b">
        <f t="shared" si="514"/>
        <v>1</v>
      </c>
      <c r="AB1331" s="12" t="b">
        <f t="shared" si="515"/>
        <v>1</v>
      </c>
      <c r="AC1331" s="12" t="b">
        <f t="shared" si="516"/>
        <v>1</v>
      </c>
      <c r="AD1331" s="12" t="b">
        <f t="shared" si="517"/>
        <v>1</v>
      </c>
      <c r="AE1331" s="12" t="b">
        <f t="shared" si="518"/>
        <v>1</v>
      </c>
      <c r="AF1331" s="12" t="b">
        <f t="shared" si="519"/>
        <v>1</v>
      </c>
    </row>
    <row r="1332" spans="1:32" s="12" customFormat="1" ht="15.75" customHeight="1">
      <c r="A1332" s="285"/>
      <c r="B1332" s="407" t="s">
        <v>143</v>
      </c>
      <c r="C1332" s="480" t="s">
        <v>465</v>
      </c>
      <c r="D1332" s="408" t="s">
        <v>85</v>
      </c>
      <c r="E1332" s="408" t="s">
        <v>13</v>
      </c>
      <c r="F1332" s="408" t="s">
        <v>713</v>
      </c>
      <c r="G1332" s="408" t="s">
        <v>157</v>
      </c>
      <c r="H1332" s="481">
        <f>47083.48+40.46</f>
        <v>47123.94</v>
      </c>
      <c r="I1332" s="481">
        <f t="shared" ref="I1332:J1332" si="535">47083.48+40.46</f>
        <v>47123.94</v>
      </c>
      <c r="J1332" s="481">
        <f t="shared" si="535"/>
        <v>47123.94</v>
      </c>
      <c r="K1332" s="481">
        <v>47123.94</v>
      </c>
      <c r="L1332" s="481">
        <v>47123.94</v>
      </c>
      <c r="M1332" s="481">
        <v>47123.94</v>
      </c>
      <c r="N1332" s="481"/>
      <c r="O1332" s="469">
        <v>47083.479999999996</v>
      </c>
      <c r="P1332" s="469">
        <v>47083.479999999996</v>
      </c>
      <c r="Q1332" s="469">
        <v>47083.479999999996</v>
      </c>
      <c r="R1332" s="472">
        <f t="shared" si="526"/>
        <v>40.460000000006403</v>
      </c>
      <c r="S1332" s="472">
        <f t="shared" si="527"/>
        <v>40.460000000006403</v>
      </c>
      <c r="T1332" s="472">
        <f t="shared" si="528"/>
        <v>40.460000000006403</v>
      </c>
      <c r="U1332" s="407" t="s">
        <v>143</v>
      </c>
      <c r="V1332" s="480" t="s">
        <v>465</v>
      </c>
      <c r="W1332" s="408" t="s">
        <v>85</v>
      </c>
      <c r="X1332" s="408" t="s">
        <v>13</v>
      </c>
      <c r="Y1332" s="408" t="s">
        <v>713</v>
      </c>
      <c r="Z1332" s="408" t="s">
        <v>157</v>
      </c>
      <c r="AA1332" s="12" t="b">
        <f t="shared" si="514"/>
        <v>1</v>
      </c>
      <c r="AB1332" s="12" t="b">
        <f t="shared" si="515"/>
        <v>1</v>
      </c>
      <c r="AC1332" s="12" t="b">
        <f t="shared" si="516"/>
        <v>1</v>
      </c>
      <c r="AD1332" s="12" t="b">
        <f t="shared" si="517"/>
        <v>1</v>
      </c>
      <c r="AE1332" s="12" t="b">
        <f t="shared" si="518"/>
        <v>1</v>
      </c>
      <c r="AF1332" s="12" t="b">
        <f t="shared" si="519"/>
        <v>1</v>
      </c>
    </row>
    <row r="1333" spans="1:32" s="12" customFormat="1" ht="15.75" customHeight="1">
      <c r="A1333" s="285"/>
      <c r="B1333" s="46" t="s">
        <v>145</v>
      </c>
      <c r="C1333" s="36" t="s">
        <v>465</v>
      </c>
      <c r="D1333" s="37" t="s">
        <v>85</v>
      </c>
      <c r="E1333" s="37" t="s">
        <v>13</v>
      </c>
      <c r="F1333" s="37" t="s">
        <v>713</v>
      </c>
      <c r="G1333" s="37" t="s">
        <v>153</v>
      </c>
      <c r="H1333" s="183">
        <f>4591.05-140+32.08+176.55</f>
        <v>4659.68</v>
      </c>
      <c r="I1333" s="183">
        <f>4591.05-140+97.52+176.55</f>
        <v>4725.1200000000008</v>
      </c>
      <c r="J1333" s="183">
        <f>4591.05-140+97.52+68.06+176.55</f>
        <v>4793.1800000000012</v>
      </c>
      <c r="K1333" s="183">
        <v>4659.68</v>
      </c>
      <c r="L1333" s="183">
        <v>4725.1200000000008</v>
      </c>
      <c r="M1333" s="183">
        <v>4793.1800000000012</v>
      </c>
      <c r="N1333" s="183"/>
      <c r="O1333" s="468">
        <v>4659.68</v>
      </c>
      <c r="P1333" s="468">
        <v>4725.1200000000008</v>
      </c>
      <c r="Q1333" s="468">
        <v>4793.1800000000012</v>
      </c>
      <c r="R1333" s="472">
        <f t="shared" si="526"/>
        <v>0</v>
      </c>
      <c r="S1333" s="472">
        <f t="shared" si="527"/>
        <v>0</v>
      </c>
      <c r="T1333" s="472">
        <f t="shared" si="528"/>
        <v>0</v>
      </c>
      <c r="U1333" s="46" t="s">
        <v>145</v>
      </c>
      <c r="V1333" s="36" t="s">
        <v>465</v>
      </c>
      <c r="W1333" s="37" t="s">
        <v>85</v>
      </c>
      <c r="X1333" s="37" t="s">
        <v>13</v>
      </c>
      <c r="Y1333" s="37" t="s">
        <v>713</v>
      </c>
      <c r="Z1333" s="37" t="s">
        <v>153</v>
      </c>
      <c r="AA1333" s="12" t="b">
        <f t="shared" ref="AA1333:AA1385" si="536">B1333=U1333</f>
        <v>1</v>
      </c>
      <c r="AB1333" s="12" t="b">
        <f t="shared" ref="AB1333:AB1385" si="537">C1333=V1333</f>
        <v>1</v>
      </c>
      <c r="AC1333" s="12" t="b">
        <f t="shared" ref="AC1333:AC1385" si="538">D1333=W1333</f>
        <v>1</v>
      </c>
      <c r="AD1333" s="12" t="b">
        <f t="shared" ref="AD1333:AD1385" si="539">E1333=X1333</f>
        <v>1</v>
      </c>
      <c r="AE1333" s="12" t="b">
        <f t="shared" ref="AE1333:AE1385" si="540">F1333=Y1333</f>
        <v>1</v>
      </c>
      <c r="AF1333" s="12" t="b">
        <f t="shared" ref="AF1333:AF1385" si="541">G1333=Z1333</f>
        <v>1</v>
      </c>
    </row>
    <row r="1334" spans="1:32" s="12" customFormat="1" ht="15.75" customHeight="1">
      <c r="A1334" s="285"/>
      <c r="B1334" s="46" t="s">
        <v>137</v>
      </c>
      <c r="C1334" s="36" t="s">
        <v>465</v>
      </c>
      <c r="D1334" s="37" t="s">
        <v>85</v>
      </c>
      <c r="E1334" s="37" t="s">
        <v>13</v>
      </c>
      <c r="F1334" s="37" t="s">
        <v>713</v>
      </c>
      <c r="G1334" s="37" t="s">
        <v>155</v>
      </c>
      <c r="H1334" s="183">
        <v>724.3</v>
      </c>
      <c r="I1334" s="183">
        <v>724.3</v>
      </c>
      <c r="J1334" s="183">
        <v>724.3</v>
      </c>
      <c r="K1334" s="183">
        <v>724.3</v>
      </c>
      <c r="L1334" s="183">
        <v>724.3</v>
      </c>
      <c r="M1334" s="183">
        <v>724.3</v>
      </c>
      <c r="N1334" s="183"/>
      <c r="O1334" s="183">
        <v>724.3</v>
      </c>
      <c r="P1334" s="183">
        <v>724.3</v>
      </c>
      <c r="Q1334" s="183">
        <v>724.3</v>
      </c>
      <c r="R1334" s="472">
        <f t="shared" si="526"/>
        <v>0</v>
      </c>
      <c r="S1334" s="472">
        <f t="shared" si="527"/>
        <v>0</v>
      </c>
      <c r="T1334" s="472">
        <f t="shared" si="528"/>
        <v>0</v>
      </c>
      <c r="U1334" s="46" t="s">
        <v>137</v>
      </c>
      <c r="V1334" s="36" t="s">
        <v>465</v>
      </c>
      <c r="W1334" s="37" t="s">
        <v>85</v>
      </c>
      <c r="X1334" s="37" t="s">
        <v>13</v>
      </c>
      <c r="Y1334" s="37" t="s">
        <v>713</v>
      </c>
      <c r="Z1334" s="37" t="s">
        <v>155</v>
      </c>
      <c r="AA1334" s="12" t="b">
        <f t="shared" si="536"/>
        <v>1</v>
      </c>
      <c r="AB1334" s="12" t="b">
        <f t="shared" si="537"/>
        <v>1</v>
      </c>
      <c r="AC1334" s="12" t="b">
        <f t="shared" si="538"/>
        <v>1</v>
      </c>
      <c r="AD1334" s="12" t="b">
        <f t="shared" si="539"/>
        <v>1</v>
      </c>
      <c r="AE1334" s="12" t="b">
        <f t="shared" si="540"/>
        <v>1</v>
      </c>
      <c r="AF1334" s="12" t="b">
        <f t="shared" si="541"/>
        <v>1</v>
      </c>
    </row>
    <row r="1335" spans="1:32" s="55" customFormat="1" ht="15.75" customHeight="1">
      <c r="A1335" s="295"/>
      <c r="B1335" s="182" t="s">
        <v>1214</v>
      </c>
      <c r="C1335" s="36" t="s">
        <v>465</v>
      </c>
      <c r="D1335" s="37" t="s">
        <v>85</v>
      </c>
      <c r="E1335" s="37" t="s">
        <v>13</v>
      </c>
      <c r="F1335" s="37" t="s">
        <v>324</v>
      </c>
      <c r="G1335" s="37" t="s">
        <v>90</v>
      </c>
      <c r="H1335" s="183">
        <f t="shared" ref="H1335:J1337" si="542">H1336</f>
        <v>535</v>
      </c>
      <c r="I1335" s="183">
        <f t="shared" si="542"/>
        <v>535</v>
      </c>
      <c r="J1335" s="183">
        <f t="shared" si="542"/>
        <v>535</v>
      </c>
      <c r="K1335" s="183">
        <v>535</v>
      </c>
      <c r="L1335" s="183">
        <v>535</v>
      </c>
      <c r="M1335" s="183">
        <v>535</v>
      </c>
      <c r="N1335" s="183"/>
      <c r="O1335" s="183">
        <v>535</v>
      </c>
      <c r="P1335" s="183">
        <v>535</v>
      </c>
      <c r="Q1335" s="183">
        <v>535</v>
      </c>
      <c r="R1335" s="472">
        <f t="shared" si="526"/>
        <v>0</v>
      </c>
      <c r="S1335" s="472">
        <f t="shared" si="527"/>
        <v>0</v>
      </c>
      <c r="T1335" s="472">
        <f t="shared" si="528"/>
        <v>0</v>
      </c>
      <c r="U1335" s="495" t="s">
        <v>1214</v>
      </c>
      <c r="V1335" s="36" t="s">
        <v>465</v>
      </c>
      <c r="W1335" s="37" t="s">
        <v>85</v>
      </c>
      <c r="X1335" s="37" t="s">
        <v>13</v>
      </c>
      <c r="Y1335" s="37" t="s">
        <v>324</v>
      </c>
      <c r="Z1335" s="37" t="s">
        <v>90</v>
      </c>
      <c r="AA1335" s="12" t="b">
        <f t="shared" si="536"/>
        <v>1</v>
      </c>
      <c r="AB1335" s="12" t="b">
        <f t="shared" si="537"/>
        <v>1</v>
      </c>
      <c r="AC1335" s="12" t="b">
        <f t="shared" si="538"/>
        <v>1</v>
      </c>
      <c r="AD1335" s="12" t="b">
        <f t="shared" si="539"/>
        <v>1</v>
      </c>
      <c r="AE1335" s="12" t="b">
        <f t="shared" si="540"/>
        <v>1</v>
      </c>
      <c r="AF1335" s="12" t="b">
        <f t="shared" si="541"/>
        <v>1</v>
      </c>
    </row>
    <row r="1336" spans="1:32" s="12" customFormat="1" ht="15.75" customHeight="1">
      <c r="A1336" s="285"/>
      <c r="B1336" s="46" t="s">
        <v>1236</v>
      </c>
      <c r="C1336" s="36" t="s">
        <v>465</v>
      </c>
      <c r="D1336" s="37" t="s">
        <v>85</v>
      </c>
      <c r="E1336" s="37" t="s">
        <v>13</v>
      </c>
      <c r="F1336" s="37" t="s">
        <v>325</v>
      </c>
      <c r="G1336" s="37" t="s">
        <v>90</v>
      </c>
      <c r="H1336" s="183">
        <f t="shared" si="542"/>
        <v>535</v>
      </c>
      <c r="I1336" s="183">
        <f t="shared" si="542"/>
        <v>535</v>
      </c>
      <c r="J1336" s="183">
        <f t="shared" si="542"/>
        <v>535</v>
      </c>
      <c r="K1336" s="183">
        <v>535</v>
      </c>
      <c r="L1336" s="183">
        <v>535</v>
      </c>
      <c r="M1336" s="183">
        <v>535</v>
      </c>
      <c r="N1336" s="183"/>
      <c r="O1336" s="183">
        <v>535</v>
      </c>
      <c r="P1336" s="183">
        <v>535</v>
      </c>
      <c r="Q1336" s="183">
        <v>535</v>
      </c>
      <c r="R1336" s="472">
        <f t="shared" si="526"/>
        <v>0</v>
      </c>
      <c r="S1336" s="472">
        <f t="shared" si="527"/>
        <v>0</v>
      </c>
      <c r="T1336" s="472">
        <f t="shared" si="528"/>
        <v>0</v>
      </c>
      <c r="U1336" s="46" t="s">
        <v>742</v>
      </c>
      <c r="V1336" s="36" t="s">
        <v>465</v>
      </c>
      <c r="W1336" s="37" t="s">
        <v>85</v>
      </c>
      <c r="X1336" s="37" t="s">
        <v>13</v>
      </c>
      <c r="Y1336" s="37" t="s">
        <v>325</v>
      </c>
      <c r="Z1336" s="37" t="s">
        <v>90</v>
      </c>
      <c r="AA1336" s="12" t="b">
        <f t="shared" si="536"/>
        <v>0</v>
      </c>
      <c r="AB1336" s="12" t="b">
        <f t="shared" si="537"/>
        <v>1</v>
      </c>
      <c r="AC1336" s="12" t="b">
        <f t="shared" si="538"/>
        <v>1</v>
      </c>
      <c r="AD1336" s="12" t="b">
        <f t="shared" si="539"/>
        <v>1</v>
      </c>
      <c r="AE1336" s="12" t="b">
        <f t="shared" si="540"/>
        <v>1</v>
      </c>
      <c r="AF1336" s="12" t="b">
        <f t="shared" si="541"/>
        <v>1</v>
      </c>
    </row>
    <row r="1337" spans="1:32" s="12" customFormat="1" ht="15.75" customHeight="1">
      <c r="A1337" s="285"/>
      <c r="B1337" s="46" t="s">
        <v>170</v>
      </c>
      <c r="C1337" s="36" t="s">
        <v>465</v>
      </c>
      <c r="D1337" s="37" t="s">
        <v>85</v>
      </c>
      <c r="E1337" s="37" t="s">
        <v>13</v>
      </c>
      <c r="F1337" s="37" t="s">
        <v>474</v>
      </c>
      <c r="G1337" s="37" t="s">
        <v>90</v>
      </c>
      <c r="H1337" s="183">
        <f t="shared" si="542"/>
        <v>535</v>
      </c>
      <c r="I1337" s="183">
        <f t="shared" si="542"/>
        <v>535</v>
      </c>
      <c r="J1337" s="183">
        <f t="shared" si="542"/>
        <v>535</v>
      </c>
      <c r="K1337" s="183">
        <v>535</v>
      </c>
      <c r="L1337" s="183">
        <v>535</v>
      </c>
      <c r="M1337" s="183">
        <v>535</v>
      </c>
      <c r="N1337" s="183"/>
      <c r="O1337" s="183">
        <v>535</v>
      </c>
      <c r="P1337" s="183">
        <v>535</v>
      </c>
      <c r="Q1337" s="183">
        <v>535</v>
      </c>
      <c r="R1337" s="472">
        <f t="shared" si="526"/>
        <v>0</v>
      </c>
      <c r="S1337" s="472">
        <f t="shared" si="527"/>
        <v>0</v>
      </c>
      <c r="T1337" s="472">
        <f t="shared" si="528"/>
        <v>0</v>
      </c>
      <c r="U1337" s="46" t="s">
        <v>170</v>
      </c>
      <c r="V1337" s="36" t="s">
        <v>465</v>
      </c>
      <c r="W1337" s="37" t="s">
        <v>85</v>
      </c>
      <c r="X1337" s="37" t="s">
        <v>13</v>
      </c>
      <c r="Y1337" s="37" t="s">
        <v>474</v>
      </c>
      <c r="Z1337" s="37" t="s">
        <v>90</v>
      </c>
      <c r="AA1337" s="12" t="b">
        <f t="shared" si="536"/>
        <v>1</v>
      </c>
      <c r="AB1337" s="12" t="b">
        <f t="shared" si="537"/>
        <v>1</v>
      </c>
      <c r="AC1337" s="12" t="b">
        <f t="shared" si="538"/>
        <v>1</v>
      </c>
      <c r="AD1337" s="12" t="b">
        <f t="shared" si="539"/>
        <v>1</v>
      </c>
      <c r="AE1337" s="12" t="b">
        <f t="shared" si="540"/>
        <v>1</v>
      </c>
      <c r="AF1337" s="12" t="b">
        <f t="shared" si="541"/>
        <v>1</v>
      </c>
    </row>
    <row r="1338" spans="1:32" s="12" customFormat="1" ht="15.75" customHeight="1">
      <c r="A1338" s="285"/>
      <c r="B1338" s="182" t="s">
        <v>145</v>
      </c>
      <c r="C1338" s="36" t="s">
        <v>465</v>
      </c>
      <c r="D1338" s="37" t="s">
        <v>85</v>
      </c>
      <c r="E1338" s="37" t="s">
        <v>13</v>
      </c>
      <c r="F1338" s="37" t="s">
        <v>474</v>
      </c>
      <c r="G1338" s="37" t="s">
        <v>153</v>
      </c>
      <c r="H1338" s="183">
        <v>535</v>
      </c>
      <c r="I1338" s="183">
        <v>535</v>
      </c>
      <c r="J1338" s="183">
        <v>535</v>
      </c>
      <c r="K1338" s="183">
        <v>535</v>
      </c>
      <c r="L1338" s="183">
        <v>535</v>
      </c>
      <c r="M1338" s="183">
        <v>535</v>
      </c>
      <c r="N1338" s="183"/>
      <c r="O1338" s="183">
        <v>535</v>
      </c>
      <c r="P1338" s="183">
        <v>535</v>
      </c>
      <c r="Q1338" s="183">
        <v>535</v>
      </c>
      <c r="R1338" s="472">
        <f t="shared" si="526"/>
        <v>0</v>
      </c>
      <c r="S1338" s="472">
        <f t="shared" si="527"/>
        <v>0</v>
      </c>
      <c r="T1338" s="472">
        <f t="shared" si="528"/>
        <v>0</v>
      </c>
      <c r="U1338" s="182" t="s">
        <v>145</v>
      </c>
      <c r="V1338" s="36" t="s">
        <v>465</v>
      </c>
      <c r="W1338" s="37" t="s">
        <v>85</v>
      </c>
      <c r="X1338" s="37" t="s">
        <v>13</v>
      </c>
      <c r="Y1338" s="37" t="s">
        <v>474</v>
      </c>
      <c r="Z1338" s="37" t="s">
        <v>153</v>
      </c>
      <c r="AA1338" s="12" t="b">
        <f t="shared" si="536"/>
        <v>1</v>
      </c>
      <c r="AB1338" s="12" t="b">
        <f t="shared" si="537"/>
        <v>1</v>
      </c>
      <c r="AC1338" s="12" t="b">
        <f t="shared" si="538"/>
        <v>1</v>
      </c>
      <c r="AD1338" s="12" t="b">
        <f t="shared" si="539"/>
        <v>1</v>
      </c>
      <c r="AE1338" s="12" t="b">
        <f t="shared" si="540"/>
        <v>1</v>
      </c>
      <c r="AF1338" s="12" t="b">
        <f t="shared" si="541"/>
        <v>1</v>
      </c>
    </row>
    <row r="1339" spans="1:32" s="12" customFormat="1" ht="15.75" customHeight="1">
      <c r="A1339" s="285"/>
      <c r="B1339" s="182" t="s">
        <v>716</v>
      </c>
      <c r="C1339" s="36" t="s">
        <v>465</v>
      </c>
      <c r="D1339" s="37" t="s">
        <v>85</v>
      </c>
      <c r="E1339" s="37" t="s">
        <v>13</v>
      </c>
      <c r="F1339" s="37" t="s">
        <v>715</v>
      </c>
      <c r="G1339" s="37" t="s">
        <v>90</v>
      </c>
      <c r="H1339" s="183">
        <f>H1340+H1345+H1348+H1351</f>
        <v>52443.85</v>
      </c>
      <c r="I1339" s="183">
        <f>I1340+I1345+I1348+I1351</f>
        <v>52444.42</v>
      </c>
      <c r="J1339" s="183">
        <f>J1340+J1345+J1348+J1351</f>
        <v>52445.009999999995</v>
      </c>
      <c r="K1339" s="183">
        <v>52443.85</v>
      </c>
      <c r="L1339" s="183">
        <v>52444.42</v>
      </c>
      <c r="M1339" s="183">
        <v>52445.009999999995</v>
      </c>
      <c r="N1339" s="183"/>
      <c r="O1339" s="183">
        <v>52443.85</v>
      </c>
      <c r="P1339" s="183">
        <v>52444.42</v>
      </c>
      <c r="Q1339" s="183">
        <v>52445.009999999995</v>
      </c>
      <c r="R1339" s="472">
        <f t="shared" si="526"/>
        <v>0</v>
      </c>
      <c r="S1339" s="472">
        <f t="shared" si="527"/>
        <v>0</v>
      </c>
      <c r="T1339" s="472">
        <f t="shared" si="528"/>
        <v>0</v>
      </c>
      <c r="U1339" s="182" t="s">
        <v>716</v>
      </c>
      <c r="V1339" s="36" t="s">
        <v>465</v>
      </c>
      <c r="W1339" s="37" t="s">
        <v>85</v>
      </c>
      <c r="X1339" s="37" t="s">
        <v>13</v>
      </c>
      <c r="Y1339" s="37" t="s">
        <v>715</v>
      </c>
      <c r="Z1339" s="37" t="s">
        <v>90</v>
      </c>
      <c r="AA1339" s="12" t="b">
        <f t="shared" si="536"/>
        <v>1</v>
      </c>
      <c r="AB1339" s="12" t="b">
        <f t="shared" si="537"/>
        <v>1</v>
      </c>
      <c r="AC1339" s="12" t="b">
        <f t="shared" si="538"/>
        <v>1</v>
      </c>
      <c r="AD1339" s="12" t="b">
        <f t="shared" si="539"/>
        <v>1</v>
      </c>
      <c r="AE1339" s="12" t="b">
        <f t="shared" si="540"/>
        <v>1</v>
      </c>
      <c r="AF1339" s="12" t="b">
        <f t="shared" si="541"/>
        <v>1</v>
      </c>
    </row>
    <row r="1340" spans="1:32" s="12" customFormat="1" ht="15.75" customHeight="1">
      <c r="A1340" s="285"/>
      <c r="B1340" s="178" t="s">
        <v>1237</v>
      </c>
      <c r="C1340" s="36" t="s">
        <v>465</v>
      </c>
      <c r="D1340" s="37" t="s">
        <v>85</v>
      </c>
      <c r="E1340" s="37" t="s">
        <v>13</v>
      </c>
      <c r="F1340" s="37" t="s">
        <v>717</v>
      </c>
      <c r="G1340" s="37" t="s">
        <v>90</v>
      </c>
      <c r="H1340" s="183">
        <f t="shared" ref="H1340:J1340" si="543">H1341</f>
        <v>44985.17</v>
      </c>
      <c r="I1340" s="183">
        <f t="shared" si="543"/>
        <v>44985.17</v>
      </c>
      <c r="J1340" s="183">
        <f t="shared" si="543"/>
        <v>44985.17</v>
      </c>
      <c r="K1340" s="183">
        <v>44985.17</v>
      </c>
      <c r="L1340" s="183">
        <v>44985.17</v>
      </c>
      <c r="M1340" s="183">
        <v>44985.17</v>
      </c>
      <c r="N1340" s="183"/>
      <c r="O1340" s="183">
        <v>44985.17</v>
      </c>
      <c r="P1340" s="183">
        <v>44985.17</v>
      </c>
      <c r="Q1340" s="183">
        <v>44985.17</v>
      </c>
      <c r="R1340" s="472">
        <f t="shared" si="526"/>
        <v>0</v>
      </c>
      <c r="S1340" s="472">
        <f t="shared" si="527"/>
        <v>0</v>
      </c>
      <c r="T1340" s="472">
        <f t="shared" si="528"/>
        <v>0</v>
      </c>
      <c r="U1340" s="182" t="s">
        <v>743</v>
      </c>
      <c r="V1340" s="36" t="s">
        <v>465</v>
      </c>
      <c r="W1340" s="37" t="s">
        <v>85</v>
      </c>
      <c r="X1340" s="37" t="s">
        <v>13</v>
      </c>
      <c r="Y1340" s="37" t="s">
        <v>717</v>
      </c>
      <c r="Z1340" s="37" t="s">
        <v>90</v>
      </c>
      <c r="AA1340" s="12" t="b">
        <f t="shared" si="536"/>
        <v>0</v>
      </c>
      <c r="AB1340" s="12" t="b">
        <f t="shared" si="537"/>
        <v>1</v>
      </c>
      <c r="AC1340" s="12" t="b">
        <f t="shared" si="538"/>
        <v>1</v>
      </c>
      <c r="AD1340" s="12" t="b">
        <f t="shared" si="539"/>
        <v>1</v>
      </c>
      <c r="AE1340" s="12" t="b">
        <f t="shared" si="540"/>
        <v>1</v>
      </c>
      <c r="AF1340" s="12" t="b">
        <f t="shared" si="541"/>
        <v>1</v>
      </c>
    </row>
    <row r="1341" spans="1:32" s="12" customFormat="1" ht="15.75" customHeight="1">
      <c r="A1341" s="285"/>
      <c r="B1341" s="46" t="s">
        <v>254</v>
      </c>
      <c r="C1341" s="36" t="s">
        <v>465</v>
      </c>
      <c r="D1341" s="37" t="s">
        <v>85</v>
      </c>
      <c r="E1341" s="37" t="s">
        <v>13</v>
      </c>
      <c r="F1341" s="37" t="s">
        <v>718</v>
      </c>
      <c r="G1341" s="37" t="s">
        <v>90</v>
      </c>
      <c r="H1341" s="183">
        <f>SUM(H1342:H1344)</f>
        <v>44985.17</v>
      </c>
      <c r="I1341" s="183">
        <f>SUM(I1342:I1344)</f>
        <v>44985.17</v>
      </c>
      <c r="J1341" s="183">
        <f>SUM(J1342:J1344)</f>
        <v>44985.17</v>
      </c>
      <c r="K1341" s="183">
        <v>44985.17</v>
      </c>
      <c r="L1341" s="183">
        <v>44985.17</v>
      </c>
      <c r="M1341" s="183">
        <v>44985.17</v>
      </c>
      <c r="N1341" s="183"/>
      <c r="O1341" s="183">
        <v>44985.17</v>
      </c>
      <c r="P1341" s="183">
        <v>44985.17</v>
      </c>
      <c r="Q1341" s="183">
        <v>44985.17</v>
      </c>
      <c r="R1341" s="472">
        <f t="shared" si="526"/>
        <v>0</v>
      </c>
      <c r="S1341" s="472">
        <f t="shared" si="527"/>
        <v>0</v>
      </c>
      <c r="T1341" s="472">
        <f t="shared" si="528"/>
        <v>0</v>
      </c>
      <c r="U1341" s="46" t="s">
        <v>254</v>
      </c>
      <c r="V1341" s="36" t="s">
        <v>465</v>
      </c>
      <c r="W1341" s="37" t="s">
        <v>85</v>
      </c>
      <c r="X1341" s="37" t="s">
        <v>13</v>
      </c>
      <c r="Y1341" s="37" t="s">
        <v>718</v>
      </c>
      <c r="Z1341" s="37" t="s">
        <v>90</v>
      </c>
      <c r="AA1341" s="12" t="b">
        <f t="shared" si="536"/>
        <v>1</v>
      </c>
      <c r="AB1341" s="12" t="b">
        <f t="shared" si="537"/>
        <v>1</v>
      </c>
      <c r="AC1341" s="12" t="b">
        <f t="shared" si="538"/>
        <v>1</v>
      </c>
      <c r="AD1341" s="12" t="b">
        <f t="shared" si="539"/>
        <v>1</v>
      </c>
      <c r="AE1341" s="12" t="b">
        <f t="shared" si="540"/>
        <v>1</v>
      </c>
      <c r="AF1341" s="12" t="b">
        <f t="shared" si="541"/>
        <v>1</v>
      </c>
    </row>
    <row r="1342" spans="1:32" s="12" customFormat="1" ht="15.75" customHeight="1">
      <c r="A1342" s="285"/>
      <c r="B1342" s="109" t="s">
        <v>143</v>
      </c>
      <c r="C1342" s="56" t="s">
        <v>465</v>
      </c>
      <c r="D1342" s="57" t="s">
        <v>85</v>
      </c>
      <c r="E1342" s="57" t="s">
        <v>13</v>
      </c>
      <c r="F1342" s="57" t="s">
        <v>718</v>
      </c>
      <c r="G1342" s="57" t="s">
        <v>157</v>
      </c>
      <c r="H1342" s="58">
        <f>36533.28+3308.63+3984.19</f>
        <v>43826.1</v>
      </c>
      <c r="I1342" s="58">
        <f>36533.28+3308.63+3984.19</f>
        <v>43826.1</v>
      </c>
      <c r="J1342" s="58">
        <f>36533.28+3308.63+3984.19</f>
        <v>43826.1</v>
      </c>
      <c r="K1342" s="58">
        <v>43826.1</v>
      </c>
      <c r="L1342" s="58">
        <v>43826.1</v>
      </c>
      <c r="M1342" s="58">
        <v>43826.1</v>
      </c>
      <c r="N1342" s="58"/>
      <c r="O1342" s="58">
        <v>43826.1</v>
      </c>
      <c r="P1342" s="58">
        <v>43826.1</v>
      </c>
      <c r="Q1342" s="58">
        <v>43826.1</v>
      </c>
      <c r="R1342" s="472">
        <f t="shared" si="526"/>
        <v>0</v>
      </c>
      <c r="S1342" s="472">
        <f t="shared" si="527"/>
        <v>0</v>
      </c>
      <c r="T1342" s="472">
        <f t="shared" si="528"/>
        <v>0</v>
      </c>
      <c r="U1342" s="109" t="s">
        <v>143</v>
      </c>
      <c r="V1342" s="56" t="s">
        <v>465</v>
      </c>
      <c r="W1342" s="57" t="s">
        <v>85</v>
      </c>
      <c r="X1342" s="57" t="s">
        <v>13</v>
      </c>
      <c r="Y1342" s="57" t="s">
        <v>718</v>
      </c>
      <c r="Z1342" s="57" t="s">
        <v>157</v>
      </c>
      <c r="AA1342" s="12" t="b">
        <f t="shared" si="536"/>
        <v>1</v>
      </c>
      <c r="AB1342" s="12" t="b">
        <f t="shared" si="537"/>
        <v>1</v>
      </c>
      <c r="AC1342" s="12" t="b">
        <f t="shared" si="538"/>
        <v>1</v>
      </c>
      <c r="AD1342" s="12" t="b">
        <f t="shared" si="539"/>
        <v>1</v>
      </c>
      <c r="AE1342" s="12" t="b">
        <f t="shared" si="540"/>
        <v>1</v>
      </c>
      <c r="AF1342" s="12" t="b">
        <f t="shared" si="541"/>
        <v>1</v>
      </c>
    </row>
    <row r="1343" spans="1:32" s="12" customFormat="1" ht="15.75" customHeight="1">
      <c r="A1343" s="285"/>
      <c r="B1343" s="182" t="s">
        <v>145</v>
      </c>
      <c r="C1343" s="36" t="s">
        <v>465</v>
      </c>
      <c r="D1343" s="37" t="s">
        <v>85</v>
      </c>
      <c r="E1343" s="37" t="s">
        <v>13</v>
      </c>
      <c r="F1343" s="37" t="s">
        <v>718</v>
      </c>
      <c r="G1343" s="37" t="s">
        <v>153</v>
      </c>
      <c r="H1343" s="183">
        <f>1341.09+0.28-186.09-0.28</f>
        <v>1155</v>
      </c>
      <c r="I1343" s="183">
        <f t="shared" ref="I1343:J1343" si="544">1341.09+0.28-186.09-0.28</f>
        <v>1155</v>
      </c>
      <c r="J1343" s="183">
        <f t="shared" si="544"/>
        <v>1155</v>
      </c>
      <c r="K1343" s="183">
        <v>1155</v>
      </c>
      <c r="L1343" s="183">
        <v>1155</v>
      </c>
      <c r="M1343" s="183">
        <v>1155</v>
      </c>
      <c r="N1343" s="183"/>
      <c r="O1343" s="183">
        <v>1155</v>
      </c>
      <c r="P1343" s="183">
        <v>1155</v>
      </c>
      <c r="Q1343" s="183">
        <v>1155</v>
      </c>
      <c r="R1343" s="472">
        <f t="shared" si="526"/>
        <v>0</v>
      </c>
      <c r="S1343" s="472">
        <f t="shared" si="527"/>
        <v>0</v>
      </c>
      <c r="T1343" s="472">
        <f t="shared" si="528"/>
        <v>0</v>
      </c>
      <c r="U1343" s="182" t="s">
        <v>145</v>
      </c>
      <c r="V1343" s="36" t="s">
        <v>465</v>
      </c>
      <c r="W1343" s="37" t="s">
        <v>85</v>
      </c>
      <c r="X1343" s="37" t="s">
        <v>13</v>
      </c>
      <c r="Y1343" s="37" t="s">
        <v>718</v>
      </c>
      <c r="Z1343" s="37" t="s">
        <v>153</v>
      </c>
      <c r="AA1343" s="12" t="b">
        <f t="shared" si="536"/>
        <v>1</v>
      </c>
      <c r="AB1343" s="12" t="b">
        <f t="shared" si="537"/>
        <v>1</v>
      </c>
      <c r="AC1343" s="12" t="b">
        <f t="shared" si="538"/>
        <v>1</v>
      </c>
      <c r="AD1343" s="12" t="b">
        <f t="shared" si="539"/>
        <v>1</v>
      </c>
      <c r="AE1343" s="12" t="b">
        <f t="shared" si="540"/>
        <v>1</v>
      </c>
      <c r="AF1343" s="12" t="b">
        <f t="shared" si="541"/>
        <v>1</v>
      </c>
    </row>
    <row r="1344" spans="1:32" s="12" customFormat="1" ht="15.75" customHeight="1">
      <c r="A1344" s="285"/>
      <c r="B1344" s="46" t="s">
        <v>137</v>
      </c>
      <c r="C1344" s="36" t="s">
        <v>465</v>
      </c>
      <c r="D1344" s="37" t="s">
        <v>85</v>
      </c>
      <c r="E1344" s="37" t="s">
        <v>13</v>
      </c>
      <c r="F1344" s="37" t="s">
        <v>718</v>
      </c>
      <c r="G1344" s="37" t="s">
        <v>155</v>
      </c>
      <c r="H1344" s="183">
        <v>4.07</v>
      </c>
      <c r="I1344" s="183">
        <v>4.07</v>
      </c>
      <c r="J1344" s="183">
        <v>4.07</v>
      </c>
      <c r="K1344" s="183">
        <v>4.07</v>
      </c>
      <c r="L1344" s="183">
        <v>4.07</v>
      </c>
      <c r="M1344" s="183">
        <v>4.07</v>
      </c>
      <c r="N1344" s="183"/>
      <c r="O1344" s="183">
        <v>4.07</v>
      </c>
      <c r="P1344" s="183">
        <v>4.07</v>
      </c>
      <c r="Q1344" s="183">
        <v>4.07</v>
      </c>
      <c r="R1344" s="472">
        <f t="shared" si="526"/>
        <v>0</v>
      </c>
      <c r="S1344" s="472">
        <f t="shared" si="527"/>
        <v>0</v>
      </c>
      <c r="T1344" s="472">
        <f t="shared" si="528"/>
        <v>0</v>
      </c>
      <c r="U1344" s="46" t="s">
        <v>137</v>
      </c>
      <c r="V1344" s="36" t="s">
        <v>465</v>
      </c>
      <c r="W1344" s="37" t="s">
        <v>85</v>
      </c>
      <c r="X1344" s="37" t="s">
        <v>13</v>
      </c>
      <c r="Y1344" s="37" t="s">
        <v>718</v>
      </c>
      <c r="Z1344" s="37" t="s">
        <v>155</v>
      </c>
      <c r="AA1344" s="12" t="b">
        <f t="shared" si="536"/>
        <v>1</v>
      </c>
      <c r="AB1344" s="12" t="b">
        <f t="shared" si="537"/>
        <v>1</v>
      </c>
      <c r="AC1344" s="12" t="b">
        <f t="shared" si="538"/>
        <v>1</v>
      </c>
      <c r="AD1344" s="12" t="b">
        <f t="shared" si="539"/>
        <v>1</v>
      </c>
      <c r="AE1344" s="12" t="b">
        <f t="shared" si="540"/>
        <v>1</v>
      </c>
      <c r="AF1344" s="12" t="b">
        <f t="shared" si="541"/>
        <v>1</v>
      </c>
    </row>
    <row r="1345" spans="1:32" s="12" customFormat="1" ht="15.75" customHeight="1">
      <c r="A1345" s="285"/>
      <c r="B1345" s="178" t="s">
        <v>1238</v>
      </c>
      <c r="C1345" s="36" t="s">
        <v>465</v>
      </c>
      <c r="D1345" s="37" t="s">
        <v>85</v>
      </c>
      <c r="E1345" s="37" t="s">
        <v>13</v>
      </c>
      <c r="F1345" s="37" t="s">
        <v>719</v>
      </c>
      <c r="G1345" s="37" t="s">
        <v>90</v>
      </c>
      <c r="H1345" s="183">
        <f t="shared" ref="H1345:J1346" si="545">H1346</f>
        <v>3117.56</v>
      </c>
      <c r="I1345" s="183">
        <f t="shared" si="545"/>
        <v>3117.56</v>
      </c>
      <c r="J1345" s="183">
        <f t="shared" si="545"/>
        <v>3117.56</v>
      </c>
      <c r="K1345" s="183">
        <v>3117.56</v>
      </c>
      <c r="L1345" s="183">
        <v>3117.56</v>
      </c>
      <c r="M1345" s="183">
        <v>3117.56</v>
      </c>
      <c r="N1345" s="183"/>
      <c r="O1345" s="183">
        <v>3117.56</v>
      </c>
      <c r="P1345" s="183">
        <v>3117.56</v>
      </c>
      <c r="Q1345" s="183">
        <v>3117.56</v>
      </c>
      <c r="R1345" s="472">
        <f t="shared" si="526"/>
        <v>0</v>
      </c>
      <c r="S1345" s="472">
        <f t="shared" si="527"/>
        <v>0</v>
      </c>
      <c r="T1345" s="472">
        <f t="shared" si="528"/>
        <v>0</v>
      </c>
      <c r="U1345" s="46" t="s">
        <v>1031</v>
      </c>
      <c r="V1345" s="36" t="s">
        <v>465</v>
      </c>
      <c r="W1345" s="37" t="s">
        <v>85</v>
      </c>
      <c r="X1345" s="37" t="s">
        <v>13</v>
      </c>
      <c r="Y1345" s="37" t="s">
        <v>719</v>
      </c>
      <c r="Z1345" s="37" t="s">
        <v>90</v>
      </c>
      <c r="AA1345" s="12" t="b">
        <f t="shared" si="536"/>
        <v>0</v>
      </c>
      <c r="AB1345" s="12" t="b">
        <f t="shared" si="537"/>
        <v>1</v>
      </c>
      <c r="AC1345" s="12" t="b">
        <f t="shared" si="538"/>
        <v>1</v>
      </c>
      <c r="AD1345" s="12" t="b">
        <f t="shared" si="539"/>
        <v>1</v>
      </c>
      <c r="AE1345" s="12" t="b">
        <f t="shared" si="540"/>
        <v>1</v>
      </c>
      <c r="AF1345" s="12" t="b">
        <f t="shared" si="541"/>
        <v>1</v>
      </c>
    </row>
    <row r="1346" spans="1:32" s="12" customFormat="1" ht="15.75" customHeight="1">
      <c r="A1346" s="285"/>
      <c r="B1346" s="46" t="s">
        <v>199</v>
      </c>
      <c r="C1346" s="36" t="s">
        <v>465</v>
      </c>
      <c r="D1346" s="37" t="s">
        <v>85</v>
      </c>
      <c r="E1346" s="37" t="s">
        <v>13</v>
      </c>
      <c r="F1346" s="37" t="s">
        <v>720</v>
      </c>
      <c r="G1346" s="37" t="s">
        <v>90</v>
      </c>
      <c r="H1346" s="183">
        <f t="shared" si="545"/>
        <v>3117.56</v>
      </c>
      <c r="I1346" s="183">
        <f t="shared" si="545"/>
        <v>3117.56</v>
      </c>
      <c r="J1346" s="183">
        <f t="shared" si="545"/>
        <v>3117.56</v>
      </c>
      <c r="K1346" s="183">
        <v>3117.56</v>
      </c>
      <c r="L1346" s="183">
        <v>3117.56</v>
      </c>
      <c r="M1346" s="183">
        <v>3117.56</v>
      </c>
      <c r="N1346" s="183"/>
      <c r="O1346" s="183">
        <v>3117.56</v>
      </c>
      <c r="P1346" s="183">
        <v>3117.56</v>
      </c>
      <c r="Q1346" s="183">
        <v>3117.56</v>
      </c>
      <c r="R1346" s="472">
        <f t="shared" si="526"/>
        <v>0</v>
      </c>
      <c r="S1346" s="472">
        <f t="shared" si="527"/>
        <v>0</v>
      </c>
      <c r="T1346" s="472">
        <f t="shared" si="528"/>
        <v>0</v>
      </c>
      <c r="U1346" s="46" t="s">
        <v>199</v>
      </c>
      <c r="V1346" s="36" t="s">
        <v>465</v>
      </c>
      <c r="W1346" s="37" t="s">
        <v>85</v>
      </c>
      <c r="X1346" s="37" t="s">
        <v>13</v>
      </c>
      <c r="Y1346" s="37" t="s">
        <v>720</v>
      </c>
      <c r="Z1346" s="37" t="s">
        <v>90</v>
      </c>
      <c r="AA1346" s="12" t="b">
        <f t="shared" si="536"/>
        <v>1</v>
      </c>
      <c r="AB1346" s="12" t="b">
        <f t="shared" si="537"/>
        <v>1</v>
      </c>
      <c r="AC1346" s="12" t="b">
        <f t="shared" si="538"/>
        <v>1</v>
      </c>
      <c r="AD1346" s="12" t="b">
        <f t="shared" si="539"/>
        <v>1</v>
      </c>
      <c r="AE1346" s="12" t="b">
        <f t="shared" si="540"/>
        <v>1</v>
      </c>
      <c r="AF1346" s="12" t="b">
        <f t="shared" si="541"/>
        <v>1</v>
      </c>
    </row>
    <row r="1347" spans="1:32" s="12" customFormat="1" ht="15.75" customHeight="1">
      <c r="A1347" s="285"/>
      <c r="B1347" s="182" t="s">
        <v>145</v>
      </c>
      <c r="C1347" s="36" t="s">
        <v>465</v>
      </c>
      <c r="D1347" s="37" t="s">
        <v>85</v>
      </c>
      <c r="E1347" s="37" t="s">
        <v>13</v>
      </c>
      <c r="F1347" s="37" t="s">
        <v>720</v>
      </c>
      <c r="G1347" s="37" t="s">
        <v>153</v>
      </c>
      <c r="H1347" s="183">
        <f>2201.81+915.75</f>
        <v>3117.56</v>
      </c>
      <c r="I1347" s="183">
        <f t="shared" ref="I1347:J1347" si="546">2201.81+915.75</f>
        <v>3117.56</v>
      </c>
      <c r="J1347" s="183">
        <f t="shared" si="546"/>
        <v>3117.56</v>
      </c>
      <c r="K1347" s="183">
        <v>3117.56</v>
      </c>
      <c r="L1347" s="183">
        <v>3117.56</v>
      </c>
      <c r="M1347" s="183">
        <v>3117.56</v>
      </c>
      <c r="N1347" s="183"/>
      <c r="O1347" s="183">
        <v>3117.56</v>
      </c>
      <c r="P1347" s="183">
        <v>3117.56</v>
      </c>
      <c r="Q1347" s="183">
        <v>3117.56</v>
      </c>
      <c r="R1347" s="472">
        <f t="shared" si="526"/>
        <v>0</v>
      </c>
      <c r="S1347" s="472">
        <f t="shared" si="527"/>
        <v>0</v>
      </c>
      <c r="T1347" s="472">
        <f t="shared" si="528"/>
        <v>0</v>
      </c>
      <c r="U1347" s="182" t="s">
        <v>145</v>
      </c>
      <c r="V1347" s="36" t="s">
        <v>465</v>
      </c>
      <c r="W1347" s="37" t="s">
        <v>85</v>
      </c>
      <c r="X1347" s="37" t="s">
        <v>13</v>
      </c>
      <c r="Y1347" s="37" t="s">
        <v>720</v>
      </c>
      <c r="Z1347" s="37" t="s">
        <v>153</v>
      </c>
      <c r="AA1347" s="12" t="b">
        <f t="shared" si="536"/>
        <v>1</v>
      </c>
      <c r="AB1347" s="12" t="b">
        <f t="shared" si="537"/>
        <v>1</v>
      </c>
      <c r="AC1347" s="12" t="b">
        <f t="shared" si="538"/>
        <v>1</v>
      </c>
      <c r="AD1347" s="12" t="b">
        <f t="shared" si="539"/>
        <v>1</v>
      </c>
      <c r="AE1347" s="12" t="b">
        <f t="shared" si="540"/>
        <v>1</v>
      </c>
      <c r="AF1347" s="12" t="b">
        <f t="shared" si="541"/>
        <v>1</v>
      </c>
    </row>
    <row r="1348" spans="1:32" s="12" customFormat="1" ht="15.75" customHeight="1">
      <c r="A1348" s="285"/>
      <c r="B1348" s="178" t="s">
        <v>1239</v>
      </c>
      <c r="C1348" s="36" t="s">
        <v>465</v>
      </c>
      <c r="D1348" s="37" t="s">
        <v>85</v>
      </c>
      <c r="E1348" s="37" t="s">
        <v>13</v>
      </c>
      <c r="F1348" s="37" t="s">
        <v>721</v>
      </c>
      <c r="G1348" s="37" t="s">
        <v>90</v>
      </c>
      <c r="H1348" s="183">
        <f t="shared" ref="H1348:J1349" si="547">H1349</f>
        <v>3452</v>
      </c>
      <c r="I1348" s="183">
        <f t="shared" si="547"/>
        <v>3452</v>
      </c>
      <c r="J1348" s="183">
        <f t="shared" si="547"/>
        <v>3452</v>
      </c>
      <c r="K1348" s="183">
        <v>3452</v>
      </c>
      <c r="L1348" s="183">
        <v>3452</v>
      </c>
      <c r="M1348" s="183">
        <v>3452</v>
      </c>
      <c r="N1348" s="183"/>
      <c r="O1348" s="183">
        <v>3452</v>
      </c>
      <c r="P1348" s="183">
        <v>3452</v>
      </c>
      <c r="Q1348" s="183">
        <v>3452</v>
      </c>
      <c r="R1348" s="472">
        <f t="shared" si="526"/>
        <v>0</v>
      </c>
      <c r="S1348" s="472">
        <f t="shared" si="527"/>
        <v>0</v>
      </c>
      <c r="T1348" s="472">
        <f t="shared" si="528"/>
        <v>0</v>
      </c>
      <c r="U1348" s="46" t="s">
        <v>785</v>
      </c>
      <c r="V1348" s="36" t="s">
        <v>465</v>
      </c>
      <c r="W1348" s="37" t="s">
        <v>85</v>
      </c>
      <c r="X1348" s="37" t="s">
        <v>13</v>
      </c>
      <c r="Y1348" s="37" t="s">
        <v>721</v>
      </c>
      <c r="Z1348" s="37" t="s">
        <v>90</v>
      </c>
      <c r="AA1348" s="12" t="b">
        <f t="shared" si="536"/>
        <v>0</v>
      </c>
      <c r="AB1348" s="12" t="b">
        <f t="shared" si="537"/>
        <v>1</v>
      </c>
      <c r="AC1348" s="12" t="b">
        <f t="shared" si="538"/>
        <v>1</v>
      </c>
      <c r="AD1348" s="12" t="b">
        <f t="shared" si="539"/>
        <v>1</v>
      </c>
      <c r="AE1348" s="12" t="b">
        <f t="shared" si="540"/>
        <v>1</v>
      </c>
      <c r="AF1348" s="12" t="b">
        <f t="shared" si="541"/>
        <v>1</v>
      </c>
    </row>
    <row r="1349" spans="1:32" s="12" customFormat="1" ht="15.75" customHeight="1">
      <c r="A1349" s="285"/>
      <c r="B1349" s="46" t="s">
        <v>158</v>
      </c>
      <c r="C1349" s="36" t="s">
        <v>465</v>
      </c>
      <c r="D1349" s="37" t="s">
        <v>85</v>
      </c>
      <c r="E1349" s="37" t="s">
        <v>13</v>
      </c>
      <c r="F1349" s="37" t="s">
        <v>722</v>
      </c>
      <c r="G1349" s="37" t="s">
        <v>90</v>
      </c>
      <c r="H1349" s="183">
        <f t="shared" si="547"/>
        <v>3452</v>
      </c>
      <c r="I1349" s="183">
        <f t="shared" si="547"/>
        <v>3452</v>
      </c>
      <c r="J1349" s="183">
        <f t="shared" si="547"/>
        <v>3452</v>
      </c>
      <c r="K1349" s="183">
        <v>3452</v>
      </c>
      <c r="L1349" s="183">
        <v>3452</v>
      </c>
      <c r="M1349" s="183">
        <v>3452</v>
      </c>
      <c r="N1349" s="183"/>
      <c r="O1349" s="183">
        <v>3452</v>
      </c>
      <c r="P1349" s="183">
        <v>3452</v>
      </c>
      <c r="Q1349" s="183">
        <v>3452</v>
      </c>
      <c r="R1349" s="472">
        <f t="shared" si="526"/>
        <v>0</v>
      </c>
      <c r="S1349" s="472">
        <f t="shared" si="527"/>
        <v>0</v>
      </c>
      <c r="T1349" s="472">
        <f t="shared" si="528"/>
        <v>0</v>
      </c>
      <c r="U1349" s="46" t="s">
        <v>158</v>
      </c>
      <c r="V1349" s="36" t="s">
        <v>465</v>
      </c>
      <c r="W1349" s="37" t="s">
        <v>85</v>
      </c>
      <c r="X1349" s="37" t="s">
        <v>13</v>
      </c>
      <c r="Y1349" s="37" t="s">
        <v>722</v>
      </c>
      <c r="Z1349" s="37" t="s">
        <v>90</v>
      </c>
      <c r="AA1349" s="12" t="b">
        <f t="shared" si="536"/>
        <v>1</v>
      </c>
      <c r="AB1349" s="12" t="b">
        <f t="shared" si="537"/>
        <v>1</v>
      </c>
      <c r="AC1349" s="12" t="b">
        <f t="shared" si="538"/>
        <v>1</v>
      </c>
      <c r="AD1349" s="12" t="b">
        <f t="shared" si="539"/>
        <v>1</v>
      </c>
      <c r="AE1349" s="12" t="b">
        <f t="shared" si="540"/>
        <v>1</v>
      </c>
      <c r="AF1349" s="12" t="b">
        <f t="shared" si="541"/>
        <v>1</v>
      </c>
    </row>
    <row r="1350" spans="1:32" s="12" customFormat="1" ht="15.75" customHeight="1">
      <c r="A1350" s="285"/>
      <c r="B1350" s="46" t="s">
        <v>145</v>
      </c>
      <c r="C1350" s="36" t="s">
        <v>465</v>
      </c>
      <c r="D1350" s="37" t="s">
        <v>85</v>
      </c>
      <c r="E1350" s="37" t="s">
        <v>13</v>
      </c>
      <c r="F1350" s="37" t="s">
        <v>722</v>
      </c>
      <c r="G1350" s="37" t="s">
        <v>153</v>
      </c>
      <c r="H1350" s="183">
        <f>2700+752</f>
        <v>3452</v>
      </c>
      <c r="I1350" s="183">
        <f t="shared" ref="I1350:J1350" si="548">2700+752</f>
        <v>3452</v>
      </c>
      <c r="J1350" s="183">
        <f t="shared" si="548"/>
        <v>3452</v>
      </c>
      <c r="K1350" s="183">
        <v>3452</v>
      </c>
      <c r="L1350" s="183">
        <v>3452</v>
      </c>
      <c r="M1350" s="183">
        <v>3452</v>
      </c>
      <c r="N1350" s="183"/>
      <c r="O1350" s="183">
        <v>3452</v>
      </c>
      <c r="P1350" s="183">
        <v>3452</v>
      </c>
      <c r="Q1350" s="183">
        <v>3452</v>
      </c>
      <c r="R1350" s="472">
        <f t="shared" si="526"/>
        <v>0</v>
      </c>
      <c r="S1350" s="472">
        <f t="shared" si="527"/>
        <v>0</v>
      </c>
      <c r="T1350" s="472">
        <f t="shared" si="528"/>
        <v>0</v>
      </c>
      <c r="U1350" s="46" t="s">
        <v>145</v>
      </c>
      <c r="V1350" s="36" t="s">
        <v>465</v>
      </c>
      <c r="W1350" s="37" t="s">
        <v>85</v>
      </c>
      <c r="X1350" s="37" t="s">
        <v>13</v>
      </c>
      <c r="Y1350" s="37" t="s">
        <v>722</v>
      </c>
      <c r="Z1350" s="37" t="s">
        <v>153</v>
      </c>
      <c r="AA1350" s="12" t="b">
        <f t="shared" si="536"/>
        <v>1</v>
      </c>
      <c r="AB1350" s="12" t="b">
        <f t="shared" si="537"/>
        <v>1</v>
      </c>
      <c r="AC1350" s="12" t="b">
        <f t="shared" si="538"/>
        <v>1</v>
      </c>
      <c r="AD1350" s="12" t="b">
        <f t="shared" si="539"/>
        <v>1</v>
      </c>
      <c r="AE1350" s="12" t="b">
        <f t="shared" si="540"/>
        <v>1</v>
      </c>
      <c r="AF1350" s="12" t="b">
        <f t="shared" si="541"/>
        <v>1</v>
      </c>
    </row>
    <row r="1351" spans="1:32" s="12" customFormat="1" ht="15.75" customHeight="1">
      <c r="A1351" s="285"/>
      <c r="B1351" s="178" t="s">
        <v>1282</v>
      </c>
      <c r="C1351" s="36" t="s">
        <v>465</v>
      </c>
      <c r="D1351" s="37" t="s">
        <v>85</v>
      </c>
      <c r="E1351" s="37" t="s">
        <v>13</v>
      </c>
      <c r="F1351" s="37" t="s">
        <v>723</v>
      </c>
      <c r="G1351" s="37" t="s">
        <v>90</v>
      </c>
      <c r="H1351" s="183">
        <f t="shared" ref="H1351:J1352" si="549">H1352</f>
        <v>889.12</v>
      </c>
      <c r="I1351" s="183">
        <f t="shared" si="549"/>
        <v>889.69</v>
      </c>
      <c r="J1351" s="183">
        <f t="shared" si="549"/>
        <v>890.28</v>
      </c>
      <c r="K1351" s="183">
        <v>889.12</v>
      </c>
      <c r="L1351" s="183">
        <v>889.69</v>
      </c>
      <c r="M1351" s="183">
        <v>890.28</v>
      </c>
      <c r="N1351" s="183"/>
      <c r="O1351" s="183">
        <v>889.12</v>
      </c>
      <c r="P1351" s="183">
        <v>889.69</v>
      </c>
      <c r="Q1351" s="183">
        <v>890.28</v>
      </c>
      <c r="R1351" s="472">
        <f t="shared" si="526"/>
        <v>0</v>
      </c>
      <c r="S1351" s="472">
        <f t="shared" si="527"/>
        <v>0</v>
      </c>
      <c r="T1351" s="472">
        <f t="shared" si="528"/>
        <v>0</v>
      </c>
      <c r="U1351" s="46" t="s">
        <v>744</v>
      </c>
      <c r="V1351" s="36" t="s">
        <v>465</v>
      </c>
      <c r="W1351" s="37" t="s">
        <v>85</v>
      </c>
      <c r="X1351" s="37" t="s">
        <v>13</v>
      </c>
      <c r="Y1351" s="37" t="s">
        <v>723</v>
      </c>
      <c r="Z1351" s="37" t="s">
        <v>90</v>
      </c>
      <c r="AA1351" s="12" t="b">
        <f t="shared" si="536"/>
        <v>0</v>
      </c>
      <c r="AB1351" s="12" t="b">
        <f t="shared" si="537"/>
        <v>1</v>
      </c>
      <c r="AC1351" s="12" t="b">
        <f t="shared" si="538"/>
        <v>1</v>
      </c>
      <c r="AD1351" s="12" t="b">
        <f t="shared" si="539"/>
        <v>1</v>
      </c>
      <c r="AE1351" s="12" t="b">
        <f t="shared" si="540"/>
        <v>1</v>
      </c>
      <c r="AF1351" s="12" t="b">
        <f t="shared" si="541"/>
        <v>1</v>
      </c>
    </row>
    <row r="1352" spans="1:32" s="12" customFormat="1" ht="15.75" customHeight="1">
      <c r="A1352" s="285"/>
      <c r="B1352" s="46" t="s">
        <v>158</v>
      </c>
      <c r="C1352" s="36" t="s">
        <v>465</v>
      </c>
      <c r="D1352" s="37" t="s">
        <v>85</v>
      </c>
      <c r="E1352" s="37" t="s">
        <v>13</v>
      </c>
      <c r="F1352" s="37" t="s">
        <v>724</v>
      </c>
      <c r="G1352" s="37" t="s">
        <v>90</v>
      </c>
      <c r="H1352" s="183">
        <f t="shared" si="549"/>
        <v>889.12</v>
      </c>
      <c r="I1352" s="183">
        <f t="shared" si="549"/>
        <v>889.69</v>
      </c>
      <c r="J1352" s="183">
        <f t="shared" si="549"/>
        <v>890.28</v>
      </c>
      <c r="K1352" s="183">
        <v>889.12</v>
      </c>
      <c r="L1352" s="183">
        <v>889.69</v>
      </c>
      <c r="M1352" s="183">
        <v>890.28</v>
      </c>
      <c r="N1352" s="183"/>
      <c r="O1352" s="183">
        <v>889.12</v>
      </c>
      <c r="P1352" s="183">
        <v>889.69</v>
      </c>
      <c r="Q1352" s="183">
        <v>890.28</v>
      </c>
      <c r="R1352" s="472">
        <f t="shared" si="526"/>
        <v>0</v>
      </c>
      <c r="S1352" s="472">
        <f t="shared" si="527"/>
        <v>0</v>
      </c>
      <c r="T1352" s="472">
        <f t="shared" si="528"/>
        <v>0</v>
      </c>
      <c r="U1352" s="46" t="s">
        <v>158</v>
      </c>
      <c r="V1352" s="36" t="s">
        <v>465</v>
      </c>
      <c r="W1352" s="37" t="s">
        <v>85</v>
      </c>
      <c r="X1352" s="37" t="s">
        <v>13</v>
      </c>
      <c r="Y1352" s="37" t="s">
        <v>724</v>
      </c>
      <c r="Z1352" s="37" t="s">
        <v>90</v>
      </c>
      <c r="AA1352" s="12" t="b">
        <f t="shared" si="536"/>
        <v>1</v>
      </c>
      <c r="AB1352" s="12" t="b">
        <f t="shared" si="537"/>
        <v>1</v>
      </c>
      <c r="AC1352" s="12" t="b">
        <f t="shared" si="538"/>
        <v>1</v>
      </c>
      <c r="AD1352" s="12" t="b">
        <f t="shared" si="539"/>
        <v>1</v>
      </c>
      <c r="AE1352" s="12" t="b">
        <f t="shared" si="540"/>
        <v>1</v>
      </c>
      <c r="AF1352" s="12" t="b">
        <f t="shared" si="541"/>
        <v>1</v>
      </c>
    </row>
    <row r="1353" spans="1:32" s="12" customFormat="1" ht="15.75" customHeight="1">
      <c r="A1353" s="285"/>
      <c r="B1353" s="46" t="s">
        <v>145</v>
      </c>
      <c r="C1353" s="36" t="s">
        <v>465</v>
      </c>
      <c r="D1353" s="37" t="s">
        <v>85</v>
      </c>
      <c r="E1353" s="37" t="s">
        <v>13</v>
      </c>
      <c r="F1353" s="37" t="s">
        <v>724</v>
      </c>
      <c r="G1353" s="37" t="s">
        <v>153</v>
      </c>
      <c r="H1353" s="183">
        <f>765+123.84+0.28</f>
        <v>889.12</v>
      </c>
      <c r="I1353" s="183">
        <v>889.69</v>
      </c>
      <c r="J1353" s="183">
        <v>890.28</v>
      </c>
      <c r="K1353" s="183">
        <v>889.12</v>
      </c>
      <c r="L1353" s="183">
        <v>889.69</v>
      </c>
      <c r="M1353" s="183">
        <v>890.28</v>
      </c>
      <c r="N1353" s="183"/>
      <c r="O1353" s="468">
        <v>889.12</v>
      </c>
      <c r="P1353" s="468">
        <v>889.69</v>
      </c>
      <c r="Q1353" s="468">
        <v>890.28</v>
      </c>
      <c r="R1353" s="472">
        <f t="shared" si="526"/>
        <v>0</v>
      </c>
      <c r="S1353" s="472">
        <f t="shared" si="527"/>
        <v>0</v>
      </c>
      <c r="T1353" s="472">
        <f t="shared" si="528"/>
        <v>0</v>
      </c>
      <c r="U1353" s="46" t="s">
        <v>145</v>
      </c>
      <c r="V1353" s="36" t="s">
        <v>465</v>
      </c>
      <c r="W1353" s="37" t="s">
        <v>85</v>
      </c>
      <c r="X1353" s="37" t="s">
        <v>13</v>
      </c>
      <c r="Y1353" s="37" t="s">
        <v>724</v>
      </c>
      <c r="Z1353" s="37" t="s">
        <v>153</v>
      </c>
      <c r="AA1353" s="12" t="b">
        <f t="shared" si="536"/>
        <v>1</v>
      </c>
      <c r="AB1353" s="12" t="b">
        <f t="shared" si="537"/>
        <v>1</v>
      </c>
      <c r="AC1353" s="12" t="b">
        <f t="shared" si="538"/>
        <v>1</v>
      </c>
      <c r="AD1353" s="12" t="b">
        <f t="shared" si="539"/>
        <v>1</v>
      </c>
      <c r="AE1353" s="12" t="b">
        <f t="shared" si="540"/>
        <v>1</v>
      </c>
      <c r="AF1353" s="12" t="b">
        <f t="shared" si="541"/>
        <v>1</v>
      </c>
    </row>
    <row r="1354" spans="1:32" s="12" customFormat="1" ht="15.75" customHeight="1">
      <c r="A1354" s="285"/>
      <c r="B1354" s="178" t="s">
        <v>1241</v>
      </c>
      <c r="C1354" s="36" t="s">
        <v>465</v>
      </c>
      <c r="D1354" s="37" t="s">
        <v>85</v>
      </c>
      <c r="E1354" s="37" t="s">
        <v>13</v>
      </c>
      <c r="F1354" s="37" t="s">
        <v>1240</v>
      </c>
      <c r="G1354" s="37" t="s">
        <v>90</v>
      </c>
      <c r="H1354" s="183">
        <f t="shared" ref="H1354:J1356" si="550">H1355</f>
        <v>272.95</v>
      </c>
      <c r="I1354" s="183">
        <f t="shared" si="550"/>
        <v>272.95</v>
      </c>
      <c r="J1354" s="183">
        <f t="shared" si="550"/>
        <v>272.95</v>
      </c>
      <c r="K1354" s="518">
        <v>272.95</v>
      </c>
      <c r="L1354" s="518">
        <v>272.95</v>
      </c>
      <c r="M1354" s="518">
        <v>272.95</v>
      </c>
      <c r="N1354" s="518"/>
      <c r="O1354" s="468"/>
      <c r="P1354" s="468"/>
      <c r="Q1354" s="468"/>
      <c r="R1354" s="472"/>
      <c r="S1354" s="472"/>
      <c r="T1354" s="472"/>
      <c r="U1354" s="46"/>
      <c r="V1354" s="36"/>
      <c r="W1354" s="37"/>
      <c r="X1354" s="37"/>
      <c r="Y1354" s="37"/>
      <c r="Z1354" s="37"/>
    </row>
    <row r="1355" spans="1:32" s="12" customFormat="1" ht="15.75" customHeight="1">
      <c r="A1355" s="285"/>
      <c r="B1355" s="178" t="s">
        <v>1242</v>
      </c>
      <c r="C1355" s="36" t="s">
        <v>465</v>
      </c>
      <c r="D1355" s="37" t="s">
        <v>85</v>
      </c>
      <c r="E1355" s="37" t="s">
        <v>13</v>
      </c>
      <c r="F1355" s="37" t="s">
        <v>1244</v>
      </c>
      <c r="G1355" s="37" t="s">
        <v>90</v>
      </c>
      <c r="H1355" s="183">
        <f t="shared" si="550"/>
        <v>272.95</v>
      </c>
      <c r="I1355" s="183">
        <f t="shared" si="550"/>
        <v>272.95</v>
      </c>
      <c r="J1355" s="183">
        <f t="shared" si="550"/>
        <v>272.95</v>
      </c>
      <c r="K1355" s="518">
        <v>272.95</v>
      </c>
      <c r="L1355" s="518">
        <v>272.95</v>
      </c>
      <c r="M1355" s="518">
        <v>272.95</v>
      </c>
      <c r="N1355" s="518"/>
      <c r="O1355" s="468"/>
      <c r="P1355" s="468"/>
      <c r="Q1355" s="468"/>
      <c r="R1355" s="472"/>
      <c r="S1355" s="472"/>
      <c r="T1355" s="472"/>
      <c r="U1355" s="46"/>
      <c r="V1355" s="36"/>
      <c r="W1355" s="37"/>
      <c r="X1355" s="37"/>
      <c r="Y1355" s="37"/>
      <c r="Z1355" s="37"/>
    </row>
    <row r="1356" spans="1:32" s="12" customFormat="1" ht="15.75" customHeight="1">
      <c r="A1356" s="285"/>
      <c r="B1356" s="182" t="s">
        <v>1243</v>
      </c>
      <c r="C1356" s="36" t="s">
        <v>465</v>
      </c>
      <c r="D1356" s="37" t="s">
        <v>85</v>
      </c>
      <c r="E1356" s="37" t="s">
        <v>13</v>
      </c>
      <c r="F1356" s="37" t="s">
        <v>1245</v>
      </c>
      <c r="G1356" s="37" t="s">
        <v>90</v>
      </c>
      <c r="H1356" s="183">
        <f>H1357</f>
        <v>272.95</v>
      </c>
      <c r="I1356" s="183">
        <f t="shared" si="550"/>
        <v>272.95</v>
      </c>
      <c r="J1356" s="183">
        <f t="shared" si="550"/>
        <v>272.95</v>
      </c>
      <c r="K1356" s="518">
        <v>272.95</v>
      </c>
      <c r="L1356" s="518">
        <v>272.95</v>
      </c>
      <c r="M1356" s="518">
        <v>272.95</v>
      </c>
      <c r="N1356" s="518"/>
      <c r="O1356" s="468"/>
      <c r="P1356" s="468"/>
      <c r="Q1356" s="468"/>
      <c r="R1356" s="472"/>
      <c r="S1356" s="472"/>
      <c r="T1356" s="472"/>
      <c r="U1356" s="46"/>
      <c r="V1356" s="36"/>
      <c r="W1356" s="37"/>
      <c r="X1356" s="37"/>
      <c r="Y1356" s="37"/>
      <c r="Z1356" s="37"/>
    </row>
    <row r="1357" spans="1:32" s="12" customFormat="1" ht="15.75" customHeight="1">
      <c r="A1357" s="285"/>
      <c r="B1357" s="178" t="s">
        <v>145</v>
      </c>
      <c r="C1357" s="36" t="s">
        <v>465</v>
      </c>
      <c r="D1357" s="37" t="s">
        <v>85</v>
      </c>
      <c r="E1357" s="37" t="s">
        <v>13</v>
      </c>
      <c r="F1357" s="37" t="s">
        <v>1245</v>
      </c>
      <c r="G1357" s="37" t="s">
        <v>153</v>
      </c>
      <c r="H1357" s="183">
        <v>272.95</v>
      </c>
      <c r="I1357" s="183">
        <v>272.95</v>
      </c>
      <c r="J1357" s="183">
        <v>272.95</v>
      </c>
      <c r="K1357" s="518">
        <v>272.95</v>
      </c>
      <c r="L1357" s="518">
        <v>272.95</v>
      </c>
      <c r="M1357" s="518">
        <v>272.95</v>
      </c>
      <c r="N1357" s="518"/>
      <c r="O1357" s="468"/>
      <c r="P1357" s="468"/>
      <c r="Q1357" s="468"/>
      <c r="R1357" s="472"/>
      <c r="S1357" s="472"/>
      <c r="T1357" s="472"/>
      <c r="U1357" s="46"/>
      <c r="V1357" s="36"/>
      <c r="W1357" s="37"/>
      <c r="X1357" s="37"/>
      <c r="Y1357" s="37"/>
      <c r="Z1357" s="37"/>
    </row>
    <row r="1358" spans="1:32" s="12" customFormat="1" ht="15.75" customHeight="1">
      <c r="A1358" s="285"/>
      <c r="B1358" s="45" t="s">
        <v>211</v>
      </c>
      <c r="C1358" s="36" t="s">
        <v>465</v>
      </c>
      <c r="D1358" s="37" t="s">
        <v>85</v>
      </c>
      <c r="E1358" s="37" t="s">
        <v>13</v>
      </c>
      <c r="F1358" s="37" t="s">
        <v>475</v>
      </c>
      <c r="G1358" s="37" t="s">
        <v>90</v>
      </c>
      <c r="H1358" s="183">
        <f>H1359</f>
        <v>20735.2</v>
      </c>
      <c r="I1358" s="183">
        <f>I1359</f>
        <v>20735.2</v>
      </c>
      <c r="J1358" s="183">
        <f>J1359</f>
        <v>20735.2</v>
      </c>
      <c r="K1358" s="183">
        <v>20735.2</v>
      </c>
      <c r="L1358" s="183">
        <v>20735.2</v>
      </c>
      <c r="M1358" s="183">
        <v>20735.2</v>
      </c>
      <c r="N1358" s="183"/>
      <c r="O1358" s="183">
        <v>20735.2</v>
      </c>
      <c r="P1358" s="183">
        <v>20735.2</v>
      </c>
      <c r="Q1358" s="183">
        <v>20735.2</v>
      </c>
      <c r="R1358" s="472">
        <f t="shared" si="526"/>
        <v>0</v>
      </c>
      <c r="S1358" s="472">
        <f t="shared" si="527"/>
        <v>0</v>
      </c>
      <c r="T1358" s="472">
        <f t="shared" si="528"/>
        <v>0</v>
      </c>
      <c r="U1358" s="45" t="s">
        <v>211</v>
      </c>
      <c r="V1358" s="36" t="s">
        <v>465</v>
      </c>
      <c r="W1358" s="37" t="s">
        <v>85</v>
      </c>
      <c r="X1358" s="37" t="s">
        <v>13</v>
      </c>
      <c r="Y1358" s="37" t="s">
        <v>475</v>
      </c>
      <c r="Z1358" s="37" t="s">
        <v>90</v>
      </c>
      <c r="AA1358" s="12" t="b">
        <f t="shared" si="536"/>
        <v>1</v>
      </c>
      <c r="AB1358" s="12" t="b">
        <f t="shared" si="537"/>
        <v>1</v>
      </c>
      <c r="AC1358" s="12" t="b">
        <f t="shared" si="538"/>
        <v>1</v>
      </c>
      <c r="AD1358" s="12" t="b">
        <f t="shared" si="539"/>
        <v>1</v>
      </c>
      <c r="AE1358" s="12" t="b">
        <f t="shared" si="540"/>
        <v>1</v>
      </c>
      <c r="AF1358" s="12" t="b">
        <f t="shared" si="541"/>
        <v>1</v>
      </c>
    </row>
    <row r="1359" spans="1:32" s="55" customFormat="1" ht="15.75" customHeight="1">
      <c r="A1359" s="295"/>
      <c r="B1359" s="182" t="s">
        <v>476</v>
      </c>
      <c r="C1359" s="36" t="s">
        <v>465</v>
      </c>
      <c r="D1359" s="37" t="s">
        <v>85</v>
      </c>
      <c r="E1359" s="37" t="s">
        <v>13</v>
      </c>
      <c r="F1359" s="37" t="s">
        <v>477</v>
      </c>
      <c r="G1359" s="37" t="s">
        <v>90</v>
      </c>
      <c r="H1359" s="183">
        <f t="shared" ref="H1359:J1359" si="551">H1360+H1363</f>
        <v>20735.2</v>
      </c>
      <c r="I1359" s="183">
        <f t="shared" si="551"/>
        <v>20735.2</v>
      </c>
      <c r="J1359" s="183">
        <f t="shared" si="551"/>
        <v>20735.2</v>
      </c>
      <c r="K1359" s="183">
        <v>20735.2</v>
      </c>
      <c r="L1359" s="183">
        <v>20735.2</v>
      </c>
      <c r="M1359" s="183">
        <v>20735.2</v>
      </c>
      <c r="N1359" s="183"/>
      <c r="O1359" s="183">
        <v>20735.2</v>
      </c>
      <c r="P1359" s="183">
        <v>20735.2</v>
      </c>
      <c r="Q1359" s="183">
        <v>20735.2</v>
      </c>
      <c r="R1359" s="472">
        <f t="shared" si="526"/>
        <v>0</v>
      </c>
      <c r="S1359" s="472">
        <f t="shared" si="527"/>
        <v>0</v>
      </c>
      <c r="T1359" s="472">
        <f t="shared" si="528"/>
        <v>0</v>
      </c>
      <c r="U1359" s="182" t="s">
        <v>476</v>
      </c>
      <c r="V1359" s="36" t="s">
        <v>465</v>
      </c>
      <c r="W1359" s="37" t="s">
        <v>85</v>
      </c>
      <c r="X1359" s="37" t="s">
        <v>13</v>
      </c>
      <c r="Y1359" s="37" t="s">
        <v>477</v>
      </c>
      <c r="Z1359" s="37" t="s">
        <v>90</v>
      </c>
      <c r="AA1359" s="12" t="b">
        <f t="shared" si="536"/>
        <v>1</v>
      </c>
      <c r="AB1359" s="12" t="b">
        <f t="shared" si="537"/>
        <v>1</v>
      </c>
      <c r="AC1359" s="12" t="b">
        <f t="shared" si="538"/>
        <v>1</v>
      </c>
      <c r="AD1359" s="12" t="b">
        <f t="shared" si="539"/>
        <v>1</v>
      </c>
      <c r="AE1359" s="12" t="b">
        <f t="shared" si="540"/>
        <v>1</v>
      </c>
      <c r="AF1359" s="12" t="b">
        <f t="shared" si="541"/>
        <v>1</v>
      </c>
    </row>
    <row r="1360" spans="1:32" s="12" customFormat="1" ht="15.75" customHeight="1">
      <c r="A1360" s="285"/>
      <c r="B1360" s="46" t="s">
        <v>151</v>
      </c>
      <c r="C1360" s="36" t="s">
        <v>465</v>
      </c>
      <c r="D1360" s="37" t="s">
        <v>85</v>
      </c>
      <c r="E1360" s="37" t="s">
        <v>13</v>
      </c>
      <c r="F1360" s="37" t="s">
        <v>478</v>
      </c>
      <c r="G1360" s="37" t="s">
        <v>90</v>
      </c>
      <c r="H1360" s="183">
        <f>SUM(H1361:H1362)</f>
        <v>1422.55</v>
      </c>
      <c r="I1360" s="183">
        <f>SUM(I1361:I1362)</f>
        <v>1422.55</v>
      </c>
      <c r="J1360" s="183">
        <f>SUM(J1361:J1362)</f>
        <v>1422.55</v>
      </c>
      <c r="K1360" s="183">
        <v>1422.55</v>
      </c>
      <c r="L1360" s="183">
        <v>1422.55</v>
      </c>
      <c r="M1360" s="183">
        <v>1422.55</v>
      </c>
      <c r="N1360" s="183"/>
      <c r="O1360" s="183">
        <v>1422.55</v>
      </c>
      <c r="P1360" s="183">
        <v>1422.55</v>
      </c>
      <c r="Q1360" s="183">
        <v>1422.55</v>
      </c>
      <c r="R1360" s="472">
        <f t="shared" si="526"/>
        <v>0</v>
      </c>
      <c r="S1360" s="472">
        <f t="shared" si="527"/>
        <v>0</v>
      </c>
      <c r="T1360" s="472">
        <f t="shared" si="528"/>
        <v>0</v>
      </c>
      <c r="U1360" s="46" t="s">
        <v>151</v>
      </c>
      <c r="V1360" s="36" t="s">
        <v>465</v>
      </c>
      <c r="W1360" s="37" t="s">
        <v>85</v>
      </c>
      <c r="X1360" s="37" t="s">
        <v>13</v>
      </c>
      <c r="Y1360" s="37" t="s">
        <v>478</v>
      </c>
      <c r="Z1360" s="37" t="s">
        <v>90</v>
      </c>
      <c r="AA1360" s="12" t="b">
        <f t="shared" si="536"/>
        <v>1</v>
      </c>
      <c r="AB1360" s="12" t="b">
        <f t="shared" si="537"/>
        <v>1</v>
      </c>
      <c r="AC1360" s="12" t="b">
        <f t="shared" si="538"/>
        <v>1</v>
      </c>
      <c r="AD1360" s="12" t="b">
        <f t="shared" si="539"/>
        <v>1</v>
      </c>
      <c r="AE1360" s="12" t="b">
        <f t="shared" si="540"/>
        <v>1</v>
      </c>
      <c r="AF1360" s="12" t="b">
        <f t="shared" si="541"/>
        <v>1</v>
      </c>
    </row>
    <row r="1361" spans="1:32" s="12" customFormat="1" ht="15.75" customHeight="1">
      <c r="A1361" s="285"/>
      <c r="B1361" s="182" t="s">
        <v>144</v>
      </c>
      <c r="C1361" s="36" t="s">
        <v>465</v>
      </c>
      <c r="D1361" s="37" t="s">
        <v>85</v>
      </c>
      <c r="E1361" s="37" t="s">
        <v>13</v>
      </c>
      <c r="F1361" s="37" t="s">
        <v>478</v>
      </c>
      <c r="G1361" s="37" t="s">
        <v>152</v>
      </c>
      <c r="H1361" s="183">
        <v>387.25</v>
      </c>
      <c r="I1361" s="183">
        <v>387.25</v>
      </c>
      <c r="J1361" s="183">
        <v>387.25</v>
      </c>
      <c r="K1361" s="183">
        <v>387.25</v>
      </c>
      <c r="L1361" s="183">
        <v>387.25</v>
      </c>
      <c r="M1361" s="183">
        <v>387.25</v>
      </c>
      <c r="N1361" s="183"/>
      <c r="O1361" s="183">
        <v>387.25</v>
      </c>
      <c r="P1361" s="183">
        <v>387.25</v>
      </c>
      <c r="Q1361" s="183">
        <v>387.25</v>
      </c>
      <c r="R1361" s="472">
        <f t="shared" si="526"/>
        <v>0</v>
      </c>
      <c r="S1361" s="472">
        <f t="shared" si="527"/>
        <v>0</v>
      </c>
      <c r="T1361" s="472">
        <f t="shared" si="528"/>
        <v>0</v>
      </c>
      <c r="U1361" s="182" t="s">
        <v>144</v>
      </c>
      <c r="V1361" s="36" t="s">
        <v>465</v>
      </c>
      <c r="W1361" s="37" t="s">
        <v>85</v>
      </c>
      <c r="X1361" s="37" t="s">
        <v>13</v>
      </c>
      <c r="Y1361" s="37" t="s">
        <v>478</v>
      </c>
      <c r="Z1361" s="37" t="s">
        <v>152</v>
      </c>
      <c r="AA1361" s="12" t="b">
        <f t="shared" si="536"/>
        <v>1</v>
      </c>
      <c r="AB1361" s="12" t="b">
        <f t="shared" si="537"/>
        <v>1</v>
      </c>
      <c r="AC1361" s="12" t="b">
        <f t="shared" si="538"/>
        <v>1</v>
      </c>
      <c r="AD1361" s="12" t="b">
        <f t="shared" si="539"/>
        <v>1</v>
      </c>
      <c r="AE1361" s="12" t="b">
        <f t="shared" si="540"/>
        <v>1</v>
      </c>
      <c r="AF1361" s="12" t="b">
        <f t="shared" si="541"/>
        <v>1</v>
      </c>
    </row>
    <row r="1362" spans="1:32" s="12" customFormat="1" ht="15.75" customHeight="1">
      <c r="A1362" s="285"/>
      <c r="B1362" s="68" t="s">
        <v>145</v>
      </c>
      <c r="C1362" s="36" t="s">
        <v>465</v>
      </c>
      <c r="D1362" s="37" t="s">
        <v>85</v>
      </c>
      <c r="E1362" s="37" t="s">
        <v>13</v>
      </c>
      <c r="F1362" s="37" t="s">
        <v>478</v>
      </c>
      <c r="G1362" s="37" t="s">
        <v>153</v>
      </c>
      <c r="H1362" s="183">
        <f>1185.3-150</f>
        <v>1035.3</v>
      </c>
      <c r="I1362" s="183">
        <f t="shared" ref="I1362:J1362" si="552">1185.3-150</f>
        <v>1035.3</v>
      </c>
      <c r="J1362" s="183">
        <f t="shared" si="552"/>
        <v>1035.3</v>
      </c>
      <c r="K1362" s="183">
        <v>1035.3</v>
      </c>
      <c r="L1362" s="183">
        <v>1035.3</v>
      </c>
      <c r="M1362" s="183">
        <v>1035.3</v>
      </c>
      <c r="N1362" s="183"/>
      <c r="O1362" s="183">
        <v>1035.3</v>
      </c>
      <c r="P1362" s="183">
        <v>1035.3</v>
      </c>
      <c r="Q1362" s="183">
        <v>1035.3</v>
      </c>
      <c r="R1362" s="472">
        <f t="shared" si="526"/>
        <v>0</v>
      </c>
      <c r="S1362" s="472">
        <f t="shared" si="527"/>
        <v>0</v>
      </c>
      <c r="T1362" s="472">
        <f t="shared" si="528"/>
        <v>0</v>
      </c>
      <c r="U1362" s="68" t="s">
        <v>145</v>
      </c>
      <c r="V1362" s="36" t="s">
        <v>465</v>
      </c>
      <c r="W1362" s="37" t="s">
        <v>85</v>
      </c>
      <c r="X1362" s="37" t="s">
        <v>13</v>
      </c>
      <c r="Y1362" s="37" t="s">
        <v>478</v>
      </c>
      <c r="Z1362" s="37" t="s">
        <v>153</v>
      </c>
      <c r="AA1362" s="12" t="b">
        <f t="shared" si="536"/>
        <v>1</v>
      </c>
      <c r="AB1362" s="12" t="b">
        <f t="shared" si="537"/>
        <v>1</v>
      </c>
      <c r="AC1362" s="12" t="b">
        <f t="shared" si="538"/>
        <v>1</v>
      </c>
      <c r="AD1362" s="12" t="b">
        <f t="shared" si="539"/>
        <v>1</v>
      </c>
      <c r="AE1362" s="12" t="b">
        <f t="shared" si="540"/>
        <v>1</v>
      </c>
      <c r="AF1362" s="12" t="b">
        <f t="shared" si="541"/>
        <v>1</v>
      </c>
    </row>
    <row r="1363" spans="1:32" s="12" customFormat="1" ht="15.75" customHeight="1">
      <c r="A1363" s="285"/>
      <c r="B1363" s="46" t="s">
        <v>161</v>
      </c>
      <c r="C1363" s="36" t="s">
        <v>465</v>
      </c>
      <c r="D1363" s="37" t="s">
        <v>85</v>
      </c>
      <c r="E1363" s="37" t="s">
        <v>13</v>
      </c>
      <c r="F1363" s="37" t="s">
        <v>479</v>
      </c>
      <c r="G1363" s="37" t="s">
        <v>90</v>
      </c>
      <c r="H1363" s="183">
        <f>H1364</f>
        <v>19312.650000000001</v>
      </c>
      <c r="I1363" s="183">
        <f>I1364</f>
        <v>19312.650000000001</v>
      </c>
      <c r="J1363" s="183">
        <f>J1364</f>
        <v>19312.650000000001</v>
      </c>
      <c r="K1363" s="183">
        <v>19312.650000000001</v>
      </c>
      <c r="L1363" s="183">
        <v>19312.650000000001</v>
      </c>
      <c r="M1363" s="183">
        <v>19312.650000000001</v>
      </c>
      <c r="N1363" s="183"/>
      <c r="O1363" s="183">
        <v>19312.650000000001</v>
      </c>
      <c r="P1363" s="183">
        <v>19312.650000000001</v>
      </c>
      <c r="Q1363" s="183">
        <v>19312.650000000001</v>
      </c>
      <c r="R1363" s="472">
        <f t="shared" si="526"/>
        <v>0</v>
      </c>
      <c r="S1363" s="472">
        <f t="shared" si="527"/>
        <v>0</v>
      </c>
      <c r="T1363" s="472">
        <f t="shared" si="528"/>
        <v>0</v>
      </c>
      <c r="U1363" s="46" t="s">
        <v>161</v>
      </c>
      <c r="V1363" s="36" t="s">
        <v>465</v>
      </c>
      <c r="W1363" s="37" t="s">
        <v>85</v>
      </c>
      <c r="X1363" s="37" t="s">
        <v>13</v>
      </c>
      <c r="Y1363" s="37" t="s">
        <v>479</v>
      </c>
      <c r="Z1363" s="37" t="s">
        <v>90</v>
      </c>
      <c r="AA1363" s="12" t="b">
        <f t="shared" si="536"/>
        <v>1</v>
      </c>
      <c r="AB1363" s="12" t="b">
        <f t="shared" si="537"/>
        <v>1</v>
      </c>
      <c r="AC1363" s="12" t="b">
        <f t="shared" si="538"/>
        <v>1</v>
      </c>
      <c r="AD1363" s="12" t="b">
        <f t="shared" si="539"/>
        <v>1</v>
      </c>
      <c r="AE1363" s="12" t="b">
        <f t="shared" si="540"/>
        <v>1</v>
      </c>
      <c r="AF1363" s="12" t="b">
        <f t="shared" si="541"/>
        <v>1</v>
      </c>
    </row>
    <row r="1364" spans="1:32" s="12" customFormat="1" ht="15.75" customHeight="1">
      <c r="A1364" s="285"/>
      <c r="B1364" s="54" t="s">
        <v>144</v>
      </c>
      <c r="C1364" s="56" t="s">
        <v>465</v>
      </c>
      <c r="D1364" s="57" t="s">
        <v>85</v>
      </c>
      <c r="E1364" s="57" t="s">
        <v>13</v>
      </c>
      <c r="F1364" s="57" t="s">
        <v>479</v>
      </c>
      <c r="G1364" s="57" t="s">
        <v>152</v>
      </c>
      <c r="H1364" s="58">
        <f>17556.2+1755.62+0.83</f>
        <v>19312.650000000001</v>
      </c>
      <c r="I1364" s="58">
        <f>17556.2+1755.62+0.83</f>
        <v>19312.650000000001</v>
      </c>
      <c r="J1364" s="58">
        <f>17556.2+1755.62+0.83</f>
        <v>19312.650000000001</v>
      </c>
      <c r="K1364" s="58">
        <v>19312.650000000001</v>
      </c>
      <c r="L1364" s="58">
        <v>19312.650000000001</v>
      </c>
      <c r="M1364" s="58">
        <v>19312.650000000001</v>
      </c>
      <c r="N1364" s="58"/>
      <c r="O1364" s="58">
        <v>19312.650000000001</v>
      </c>
      <c r="P1364" s="58">
        <v>19312.650000000001</v>
      </c>
      <c r="Q1364" s="58">
        <v>19312.650000000001</v>
      </c>
      <c r="R1364" s="472">
        <f t="shared" si="526"/>
        <v>0</v>
      </c>
      <c r="S1364" s="472">
        <f t="shared" si="527"/>
        <v>0</v>
      </c>
      <c r="T1364" s="472">
        <f t="shared" si="528"/>
        <v>0</v>
      </c>
      <c r="U1364" s="54" t="s">
        <v>144</v>
      </c>
      <c r="V1364" s="56" t="s">
        <v>465</v>
      </c>
      <c r="W1364" s="57" t="s">
        <v>85</v>
      </c>
      <c r="X1364" s="57" t="s">
        <v>13</v>
      </c>
      <c r="Y1364" s="57" t="s">
        <v>479</v>
      </c>
      <c r="Z1364" s="57" t="s">
        <v>152</v>
      </c>
      <c r="AA1364" s="12" t="b">
        <f t="shared" si="536"/>
        <v>1</v>
      </c>
      <c r="AB1364" s="12" t="b">
        <f t="shared" si="537"/>
        <v>1</v>
      </c>
      <c r="AC1364" s="12" t="b">
        <f t="shared" si="538"/>
        <v>1</v>
      </c>
      <c r="AD1364" s="12" t="b">
        <f t="shared" si="539"/>
        <v>1</v>
      </c>
      <c r="AE1364" s="12" t="b">
        <f t="shared" si="540"/>
        <v>1</v>
      </c>
      <c r="AF1364" s="12" t="b">
        <f t="shared" si="541"/>
        <v>1</v>
      </c>
    </row>
    <row r="1365" spans="1:32" s="12" customFormat="1" ht="15.75" customHeight="1">
      <c r="A1365" s="285"/>
      <c r="B1365" s="46"/>
      <c r="C1365" s="36"/>
      <c r="D1365" s="37"/>
      <c r="E1365" s="37"/>
      <c r="F1365" s="37"/>
      <c r="G1365" s="37"/>
      <c r="H1365" s="183"/>
      <c r="I1365" s="183"/>
      <c r="J1365" s="183"/>
      <c r="K1365" s="183"/>
      <c r="L1365" s="183"/>
      <c r="M1365" s="183"/>
      <c r="N1365" s="183"/>
      <c r="O1365" s="183"/>
      <c r="P1365" s="183"/>
      <c r="Q1365" s="183"/>
      <c r="R1365" s="472">
        <f t="shared" si="526"/>
        <v>0</v>
      </c>
      <c r="S1365" s="472">
        <f t="shared" si="527"/>
        <v>0</v>
      </c>
      <c r="T1365" s="472">
        <f t="shared" si="528"/>
        <v>0</v>
      </c>
      <c r="U1365" s="46"/>
      <c r="V1365" s="36"/>
      <c r="W1365" s="37"/>
      <c r="X1365" s="37"/>
      <c r="Y1365" s="37"/>
      <c r="Z1365" s="37"/>
      <c r="AA1365" s="12" t="b">
        <f t="shared" si="536"/>
        <v>1</v>
      </c>
      <c r="AB1365" s="12" t="b">
        <f t="shared" si="537"/>
        <v>1</v>
      </c>
      <c r="AC1365" s="12" t="b">
        <f t="shared" si="538"/>
        <v>1</v>
      </c>
      <c r="AD1365" s="12" t="b">
        <f t="shared" si="539"/>
        <v>1</v>
      </c>
      <c r="AE1365" s="12" t="b">
        <f t="shared" si="540"/>
        <v>1</v>
      </c>
      <c r="AF1365" s="12" t="b">
        <f t="shared" si="541"/>
        <v>1</v>
      </c>
    </row>
    <row r="1366" spans="1:32" s="12" customFormat="1" ht="15.75" customHeight="1">
      <c r="A1366" s="285"/>
      <c r="B1366" s="42" t="s">
        <v>162</v>
      </c>
      <c r="C1366" s="25" t="s">
        <v>634</v>
      </c>
      <c r="D1366" s="26" t="s">
        <v>83</v>
      </c>
      <c r="E1366" s="26" t="s">
        <v>83</v>
      </c>
      <c r="F1366" s="26" t="s">
        <v>223</v>
      </c>
      <c r="G1366" s="26" t="s">
        <v>90</v>
      </c>
      <c r="H1366" s="43">
        <f>H1367</f>
        <v>20053.249999999996</v>
      </c>
      <c r="I1366" s="43">
        <f t="shared" ref="H1366:J1368" si="553">I1367</f>
        <v>19586.289999999997</v>
      </c>
      <c r="J1366" s="43">
        <f t="shared" si="553"/>
        <v>19604.62</v>
      </c>
      <c r="K1366" s="43">
        <v>20053.249999999996</v>
      </c>
      <c r="L1366" s="43">
        <v>19586.289999999997</v>
      </c>
      <c r="M1366" s="43">
        <v>19604.62</v>
      </c>
      <c r="N1366" s="43"/>
      <c r="O1366" s="43">
        <v>19568.37</v>
      </c>
      <c r="P1366" s="43">
        <v>19586.289999999997</v>
      </c>
      <c r="Q1366" s="43">
        <v>19604.62</v>
      </c>
      <c r="R1366" s="472">
        <f t="shared" si="526"/>
        <v>484.87999999999738</v>
      </c>
      <c r="S1366" s="472">
        <f t="shared" si="527"/>
        <v>0</v>
      </c>
      <c r="T1366" s="472">
        <f t="shared" si="528"/>
        <v>0</v>
      </c>
      <c r="U1366" s="42" t="s">
        <v>162</v>
      </c>
      <c r="V1366" s="25" t="s">
        <v>634</v>
      </c>
      <c r="W1366" s="26" t="s">
        <v>83</v>
      </c>
      <c r="X1366" s="26" t="s">
        <v>83</v>
      </c>
      <c r="Y1366" s="26" t="s">
        <v>223</v>
      </c>
      <c r="Z1366" s="26" t="s">
        <v>90</v>
      </c>
      <c r="AA1366" s="12" t="b">
        <f t="shared" si="536"/>
        <v>1</v>
      </c>
      <c r="AB1366" s="12" t="b">
        <f t="shared" si="537"/>
        <v>1</v>
      </c>
      <c r="AC1366" s="12" t="b">
        <f t="shared" si="538"/>
        <v>1</v>
      </c>
      <c r="AD1366" s="12" t="b">
        <f t="shared" si="539"/>
        <v>1</v>
      </c>
      <c r="AE1366" s="12" t="b">
        <f t="shared" si="540"/>
        <v>1</v>
      </c>
      <c r="AF1366" s="12" t="b">
        <f t="shared" si="541"/>
        <v>1</v>
      </c>
    </row>
    <row r="1367" spans="1:32" s="12" customFormat="1" ht="15.75" customHeight="1">
      <c r="A1367" s="285"/>
      <c r="B1367" s="28" t="s">
        <v>97</v>
      </c>
      <c r="C1367" s="29" t="s">
        <v>634</v>
      </c>
      <c r="D1367" s="30" t="s">
        <v>98</v>
      </c>
      <c r="E1367" s="30" t="s">
        <v>83</v>
      </c>
      <c r="F1367" s="30" t="s">
        <v>223</v>
      </c>
      <c r="G1367" s="30" t="s">
        <v>90</v>
      </c>
      <c r="H1367" s="31">
        <f t="shared" si="553"/>
        <v>20053.249999999996</v>
      </c>
      <c r="I1367" s="31">
        <f t="shared" si="553"/>
        <v>19586.289999999997</v>
      </c>
      <c r="J1367" s="31">
        <f t="shared" si="553"/>
        <v>19604.62</v>
      </c>
      <c r="K1367" s="31">
        <v>20053.249999999996</v>
      </c>
      <c r="L1367" s="31">
        <v>19586.289999999997</v>
      </c>
      <c r="M1367" s="31">
        <v>19604.62</v>
      </c>
      <c r="N1367" s="31"/>
      <c r="O1367" s="31">
        <v>19568.37</v>
      </c>
      <c r="P1367" s="31">
        <v>19586.289999999997</v>
      </c>
      <c r="Q1367" s="31">
        <v>19604.62</v>
      </c>
      <c r="R1367" s="472">
        <f t="shared" si="526"/>
        <v>484.87999999999738</v>
      </c>
      <c r="S1367" s="472">
        <f t="shared" si="527"/>
        <v>0</v>
      </c>
      <c r="T1367" s="472">
        <f t="shared" si="528"/>
        <v>0</v>
      </c>
      <c r="U1367" s="28" t="s">
        <v>97</v>
      </c>
      <c r="V1367" s="29" t="s">
        <v>634</v>
      </c>
      <c r="W1367" s="30" t="s">
        <v>98</v>
      </c>
      <c r="X1367" s="30" t="s">
        <v>83</v>
      </c>
      <c r="Y1367" s="30" t="s">
        <v>223</v>
      </c>
      <c r="Z1367" s="30" t="s">
        <v>90</v>
      </c>
      <c r="AA1367" s="12" t="b">
        <f t="shared" si="536"/>
        <v>1</v>
      </c>
      <c r="AB1367" s="12" t="b">
        <f t="shared" si="537"/>
        <v>1</v>
      </c>
      <c r="AC1367" s="12" t="b">
        <f t="shared" si="538"/>
        <v>1</v>
      </c>
      <c r="AD1367" s="12" t="b">
        <f t="shared" si="539"/>
        <v>1</v>
      </c>
      <c r="AE1367" s="12" t="b">
        <f t="shared" si="540"/>
        <v>1</v>
      </c>
      <c r="AF1367" s="12" t="b">
        <f t="shared" si="541"/>
        <v>1</v>
      </c>
    </row>
    <row r="1368" spans="1:32" s="12" customFormat="1" ht="15.75" customHeight="1">
      <c r="A1368" s="285"/>
      <c r="B1368" s="32" t="s">
        <v>42</v>
      </c>
      <c r="C1368" s="33" t="s">
        <v>634</v>
      </c>
      <c r="D1368" s="34" t="s">
        <v>98</v>
      </c>
      <c r="E1368" s="34" t="s">
        <v>2</v>
      </c>
      <c r="F1368" s="34" t="s">
        <v>223</v>
      </c>
      <c r="G1368" s="34" t="s">
        <v>90</v>
      </c>
      <c r="H1368" s="35">
        <f t="shared" si="553"/>
        <v>20053.249999999996</v>
      </c>
      <c r="I1368" s="35">
        <f t="shared" si="553"/>
        <v>19586.289999999997</v>
      </c>
      <c r="J1368" s="35">
        <f t="shared" si="553"/>
        <v>19604.62</v>
      </c>
      <c r="K1368" s="35">
        <v>20053.249999999996</v>
      </c>
      <c r="L1368" s="35">
        <v>19586.289999999997</v>
      </c>
      <c r="M1368" s="35">
        <v>19604.62</v>
      </c>
      <c r="N1368" s="35"/>
      <c r="O1368" s="35">
        <v>19568.37</v>
      </c>
      <c r="P1368" s="35">
        <v>19586.289999999997</v>
      </c>
      <c r="Q1368" s="35">
        <v>19604.62</v>
      </c>
      <c r="R1368" s="472">
        <f t="shared" si="526"/>
        <v>484.87999999999738</v>
      </c>
      <c r="S1368" s="472">
        <f t="shared" si="527"/>
        <v>0</v>
      </c>
      <c r="T1368" s="472">
        <f t="shared" si="528"/>
        <v>0</v>
      </c>
      <c r="U1368" s="32" t="s">
        <v>42</v>
      </c>
      <c r="V1368" s="33" t="s">
        <v>634</v>
      </c>
      <c r="W1368" s="34" t="s">
        <v>98</v>
      </c>
      <c r="X1368" s="34" t="s">
        <v>2</v>
      </c>
      <c r="Y1368" s="34" t="s">
        <v>223</v>
      </c>
      <c r="Z1368" s="34" t="s">
        <v>90</v>
      </c>
      <c r="AA1368" s="12" t="b">
        <f t="shared" si="536"/>
        <v>1</v>
      </c>
      <c r="AB1368" s="12" t="b">
        <f t="shared" si="537"/>
        <v>1</v>
      </c>
      <c r="AC1368" s="12" t="b">
        <f t="shared" si="538"/>
        <v>1</v>
      </c>
      <c r="AD1368" s="12" t="b">
        <f t="shared" si="539"/>
        <v>1</v>
      </c>
      <c r="AE1368" s="12" t="b">
        <f t="shared" si="540"/>
        <v>1</v>
      </c>
      <c r="AF1368" s="12" t="b">
        <f t="shared" si="541"/>
        <v>1</v>
      </c>
    </row>
    <row r="1369" spans="1:32" s="12" customFormat="1" ht="15.75" customHeight="1">
      <c r="A1369" s="285"/>
      <c r="B1369" s="21" t="s">
        <v>639</v>
      </c>
      <c r="C1369" s="36" t="s">
        <v>634</v>
      </c>
      <c r="D1369" s="37" t="s">
        <v>98</v>
      </c>
      <c r="E1369" s="37" t="s">
        <v>2</v>
      </c>
      <c r="F1369" s="37" t="s">
        <v>637</v>
      </c>
      <c r="G1369" s="37" t="s">
        <v>90</v>
      </c>
      <c r="H1369" s="183">
        <f>H1370+H1377</f>
        <v>20053.249999999996</v>
      </c>
      <c r="I1369" s="183">
        <f>I1370+I1377</f>
        <v>19586.289999999997</v>
      </c>
      <c r="J1369" s="183">
        <f>J1370+J1377</f>
        <v>19604.62</v>
      </c>
      <c r="K1369" s="183">
        <v>20053.249999999996</v>
      </c>
      <c r="L1369" s="183">
        <v>19586.289999999997</v>
      </c>
      <c r="M1369" s="183">
        <v>19604.62</v>
      </c>
      <c r="N1369" s="183"/>
      <c r="O1369" s="183">
        <v>19568.37</v>
      </c>
      <c r="P1369" s="183">
        <v>19586.289999999997</v>
      </c>
      <c r="Q1369" s="183">
        <v>19604.62</v>
      </c>
      <c r="R1369" s="472">
        <f t="shared" si="526"/>
        <v>484.87999999999738</v>
      </c>
      <c r="S1369" s="472">
        <f t="shared" si="527"/>
        <v>0</v>
      </c>
      <c r="T1369" s="472">
        <f t="shared" si="528"/>
        <v>0</v>
      </c>
      <c r="U1369" s="21" t="s">
        <v>639</v>
      </c>
      <c r="V1369" s="36" t="s">
        <v>634</v>
      </c>
      <c r="W1369" s="37" t="s">
        <v>98</v>
      </c>
      <c r="X1369" s="37" t="s">
        <v>2</v>
      </c>
      <c r="Y1369" s="37" t="s">
        <v>637</v>
      </c>
      <c r="Z1369" s="37" t="s">
        <v>90</v>
      </c>
      <c r="AA1369" s="12" t="b">
        <f t="shared" si="536"/>
        <v>1</v>
      </c>
      <c r="AB1369" s="12" t="b">
        <f t="shared" si="537"/>
        <v>1</v>
      </c>
      <c r="AC1369" s="12" t="b">
        <f t="shared" si="538"/>
        <v>1</v>
      </c>
      <c r="AD1369" s="12" t="b">
        <f t="shared" si="539"/>
        <v>1</v>
      </c>
      <c r="AE1369" s="12" t="b">
        <f t="shared" si="540"/>
        <v>1</v>
      </c>
      <c r="AF1369" s="12" t="b">
        <f t="shared" si="541"/>
        <v>1</v>
      </c>
    </row>
    <row r="1370" spans="1:32" s="12" customFormat="1" ht="15.75" customHeight="1">
      <c r="A1370" s="285"/>
      <c r="B1370" s="21" t="s">
        <v>638</v>
      </c>
      <c r="C1370" s="36" t="s">
        <v>634</v>
      </c>
      <c r="D1370" s="37" t="s">
        <v>98</v>
      </c>
      <c r="E1370" s="37" t="s">
        <v>2</v>
      </c>
      <c r="F1370" s="37" t="s">
        <v>635</v>
      </c>
      <c r="G1370" s="37" t="s">
        <v>90</v>
      </c>
      <c r="H1370" s="183">
        <f t="shared" ref="H1370:J1370" si="554">H1371+H1375</f>
        <v>16450.539999999997</v>
      </c>
      <c r="I1370" s="183">
        <f t="shared" si="554"/>
        <v>15983.579999999998</v>
      </c>
      <c r="J1370" s="183">
        <f t="shared" si="554"/>
        <v>16001.909999999998</v>
      </c>
      <c r="K1370" s="183">
        <v>16450.539999999997</v>
      </c>
      <c r="L1370" s="183">
        <v>15983.579999999998</v>
      </c>
      <c r="M1370" s="183">
        <v>16001.909999999998</v>
      </c>
      <c r="N1370" s="183"/>
      <c r="O1370" s="183">
        <v>15965.659999999998</v>
      </c>
      <c r="P1370" s="183">
        <v>15983.579999999998</v>
      </c>
      <c r="Q1370" s="183">
        <v>16001.909999999998</v>
      </c>
      <c r="R1370" s="472">
        <f t="shared" si="526"/>
        <v>484.8799999999992</v>
      </c>
      <c r="S1370" s="472">
        <f t="shared" si="527"/>
        <v>0</v>
      </c>
      <c r="T1370" s="472">
        <f t="shared" si="528"/>
        <v>0</v>
      </c>
      <c r="U1370" s="21" t="s">
        <v>638</v>
      </c>
      <c r="V1370" s="36" t="s">
        <v>634</v>
      </c>
      <c r="W1370" s="37" t="s">
        <v>98</v>
      </c>
      <c r="X1370" s="37" t="s">
        <v>2</v>
      </c>
      <c r="Y1370" s="37" t="s">
        <v>635</v>
      </c>
      <c r="Z1370" s="37" t="s">
        <v>90</v>
      </c>
      <c r="AA1370" s="12" t="b">
        <f t="shared" si="536"/>
        <v>1</v>
      </c>
      <c r="AB1370" s="12" t="b">
        <f t="shared" si="537"/>
        <v>1</v>
      </c>
      <c r="AC1370" s="12" t="b">
        <f t="shared" si="538"/>
        <v>1</v>
      </c>
      <c r="AD1370" s="12" t="b">
        <f t="shared" si="539"/>
        <v>1</v>
      </c>
      <c r="AE1370" s="12" t="b">
        <f t="shared" si="540"/>
        <v>1</v>
      </c>
      <c r="AF1370" s="12" t="b">
        <f t="shared" si="541"/>
        <v>1</v>
      </c>
    </row>
    <row r="1371" spans="1:32" s="12" customFormat="1" ht="15.75" customHeight="1">
      <c r="A1371" s="285"/>
      <c r="B1371" s="182" t="s">
        <v>151</v>
      </c>
      <c r="C1371" s="36" t="s">
        <v>634</v>
      </c>
      <c r="D1371" s="37" t="s">
        <v>98</v>
      </c>
      <c r="E1371" s="37" t="s">
        <v>2</v>
      </c>
      <c r="F1371" s="37" t="s">
        <v>636</v>
      </c>
      <c r="G1371" s="37" t="s">
        <v>90</v>
      </c>
      <c r="H1371" s="183">
        <f>SUM(H1372:H1374)</f>
        <v>3890.1099999999997</v>
      </c>
      <c r="I1371" s="183">
        <f>SUM(I1372:I1374)</f>
        <v>3423.1499999999992</v>
      </c>
      <c r="J1371" s="183">
        <f>SUM(J1372:J1374)</f>
        <v>3441.48</v>
      </c>
      <c r="K1371" s="183">
        <v>3890.1099999999997</v>
      </c>
      <c r="L1371" s="183">
        <v>3423.1499999999992</v>
      </c>
      <c r="M1371" s="183">
        <v>3441.48</v>
      </c>
      <c r="N1371" s="183"/>
      <c r="O1371" s="183">
        <v>3405.2299999999996</v>
      </c>
      <c r="P1371" s="183">
        <v>3423.1499999999992</v>
      </c>
      <c r="Q1371" s="183">
        <v>3441.48</v>
      </c>
      <c r="R1371" s="472">
        <f t="shared" si="526"/>
        <v>484.88000000000011</v>
      </c>
      <c r="S1371" s="472">
        <f t="shared" si="527"/>
        <v>0</v>
      </c>
      <c r="T1371" s="472">
        <f t="shared" si="528"/>
        <v>0</v>
      </c>
      <c r="U1371" s="182" t="s">
        <v>151</v>
      </c>
      <c r="V1371" s="36" t="s">
        <v>634</v>
      </c>
      <c r="W1371" s="37" t="s">
        <v>98</v>
      </c>
      <c r="X1371" s="37" t="s">
        <v>2</v>
      </c>
      <c r="Y1371" s="37" t="s">
        <v>636</v>
      </c>
      <c r="Z1371" s="37" t="s">
        <v>90</v>
      </c>
      <c r="AA1371" s="12" t="b">
        <f t="shared" si="536"/>
        <v>1</v>
      </c>
      <c r="AB1371" s="12" t="b">
        <f t="shared" si="537"/>
        <v>1</v>
      </c>
      <c r="AC1371" s="12" t="b">
        <f t="shared" si="538"/>
        <v>1</v>
      </c>
      <c r="AD1371" s="12" t="b">
        <f t="shared" si="539"/>
        <v>1</v>
      </c>
      <c r="AE1371" s="12" t="b">
        <f t="shared" si="540"/>
        <v>1</v>
      </c>
      <c r="AF1371" s="12" t="b">
        <f t="shared" si="541"/>
        <v>1</v>
      </c>
    </row>
    <row r="1372" spans="1:32" s="12" customFormat="1" ht="15.75" customHeight="1">
      <c r="A1372" s="285"/>
      <c r="B1372" s="182" t="s">
        <v>144</v>
      </c>
      <c r="C1372" s="36" t="s">
        <v>634</v>
      </c>
      <c r="D1372" s="37" t="s">
        <v>98</v>
      </c>
      <c r="E1372" s="37" t="s">
        <v>2</v>
      </c>
      <c r="F1372" s="37" t="s">
        <v>636</v>
      </c>
      <c r="G1372" s="37" t="s">
        <v>152</v>
      </c>
      <c r="H1372" s="183">
        <f>546.53-69.25</f>
        <v>477.28</v>
      </c>
      <c r="I1372" s="183">
        <f t="shared" ref="I1372:J1372" si="555">546.53-69.25</f>
        <v>477.28</v>
      </c>
      <c r="J1372" s="183">
        <f t="shared" si="555"/>
        <v>477.28</v>
      </c>
      <c r="K1372" s="183">
        <v>477.28</v>
      </c>
      <c r="L1372" s="183">
        <v>477.28</v>
      </c>
      <c r="M1372" s="183">
        <v>477.28</v>
      </c>
      <c r="N1372" s="183"/>
      <c r="O1372" s="183">
        <v>477.28</v>
      </c>
      <c r="P1372" s="183">
        <v>477.28</v>
      </c>
      <c r="Q1372" s="183">
        <v>477.28</v>
      </c>
      <c r="R1372" s="472">
        <f t="shared" si="526"/>
        <v>0</v>
      </c>
      <c r="S1372" s="472">
        <f t="shared" si="527"/>
        <v>0</v>
      </c>
      <c r="T1372" s="472">
        <f t="shared" si="528"/>
        <v>0</v>
      </c>
      <c r="U1372" s="182" t="s">
        <v>144</v>
      </c>
      <c r="V1372" s="36" t="s">
        <v>634</v>
      </c>
      <c r="W1372" s="37" t="s">
        <v>98</v>
      </c>
      <c r="X1372" s="37" t="s">
        <v>2</v>
      </c>
      <c r="Y1372" s="37" t="s">
        <v>636</v>
      </c>
      <c r="Z1372" s="37" t="s">
        <v>152</v>
      </c>
      <c r="AA1372" s="12" t="b">
        <f t="shared" si="536"/>
        <v>1</v>
      </c>
      <c r="AB1372" s="12" t="b">
        <f t="shared" si="537"/>
        <v>1</v>
      </c>
      <c r="AC1372" s="12" t="b">
        <f t="shared" si="538"/>
        <v>1</v>
      </c>
      <c r="AD1372" s="12" t="b">
        <f t="shared" si="539"/>
        <v>1</v>
      </c>
      <c r="AE1372" s="12" t="b">
        <f t="shared" si="540"/>
        <v>1</v>
      </c>
      <c r="AF1372" s="12" t="b">
        <f t="shared" si="541"/>
        <v>1</v>
      </c>
    </row>
    <row r="1373" spans="1:32" s="12" customFormat="1" ht="15.75" customHeight="1">
      <c r="A1373" s="285"/>
      <c r="B1373" s="182" t="s">
        <v>145</v>
      </c>
      <c r="C1373" s="36" t="s">
        <v>634</v>
      </c>
      <c r="D1373" s="37" t="s">
        <v>98</v>
      </c>
      <c r="E1373" s="37" t="s">
        <v>2</v>
      </c>
      <c r="F1373" s="37" t="s">
        <v>636</v>
      </c>
      <c r="G1373" s="37" t="s">
        <v>153</v>
      </c>
      <c r="H1373" s="183">
        <f>3492.75-162-340.82+8.65-103.5-0.01+484.88</f>
        <v>3379.95</v>
      </c>
      <c r="I1373" s="183">
        <f>3492.75-340.82-162-103.5+26.27-0.01</f>
        <v>2912.6899999999996</v>
      </c>
      <c r="J1373" s="183">
        <f>2912.7+18.32</f>
        <v>2931.02</v>
      </c>
      <c r="K1373" s="183">
        <v>3379.95</v>
      </c>
      <c r="L1373" s="183">
        <v>2912.6899999999996</v>
      </c>
      <c r="M1373" s="183">
        <v>2931.02</v>
      </c>
      <c r="N1373" s="183"/>
      <c r="O1373" s="183">
        <v>2895.0699999999997</v>
      </c>
      <c r="P1373" s="183">
        <v>2912.6899999999996</v>
      </c>
      <c r="Q1373" s="183">
        <v>2931.02</v>
      </c>
      <c r="R1373" s="472">
        <f t="shared" si="526"/>
        <v>484.88000000000011</v>
      </c>
      <c r="S1373" s="472">
        <f t="shared" si="527"/>
        <v>0</v>
      </c>
      <c r="T1373" s="472">
        <f t="shared" si="528"/>
        <v>0</v>
      </c>
      <c r="U1373" s="182" t="s">
        <v>145</v>
      </c>
      <c r="V1373" s="36" t="s">
        <v>634</v>
      </c>
      <c r="W1373" s="37" t="s">
        <v>98</v>
      </c>
      <c r="X1373" s="37" t="s">
        <v>2</v>
      </c>
      <c r="Y1373" s="37" t="s">
        <v>636</v>
      </c>
      <c r="Z1373" s="37" t="s">
        <v>153</v>
      </c>
      <c r="AA1373" s="12" t="b">
        <f t="shared" si="536"/>
        <v>1</v>
      </c>
      <c r="AB1373" s="12" t="b">
        <f t="shared" si="537"/>
        <v>1</v>
      </c>
      <c r="AC1373" s="12" t="b">
        <f t="shared" si="538"/>
        <v>1</v>
      </c>
      <c r="AD1373" s="12" t="b">
        <f t="shared" si="539"/>
        <v>1</v>
      </c>
      <c r="AE1373" s="12" t="b">
        <f t="shared" si="540"/>
        <v>1</v>
      </c>
      <c r="AF1373" s="12" t="b">
        <f t="shared" si="541"/>
        <v>1</v>
      </c>
    </row>
    <row r="1374" spans="1:32" s="12" customFormat="1" ht="15.75" customHeight="1">
      <c r="A1374" s="285"/>
      <c r="B1374" s="182" t="s">
        <v>137</v>
      </c>
      <c r="C1374" s="36" t="s">
        <v>634</v>
      </c>
      <c r="D1374" s="37" t="s">
        <v>98</v>
      </c>
      <c r="E1374" s="37" t="s">
        <v>2</v>
      </c>
      <c r="F1374" s="37" t="s">
        <v>636</v>
      </c>
      <c r="G1374" s="37" t="s">
        <v>155</v>
      </c>
      <c r="H1374" s="183">
        <f>39.48-6.6</f>
        <v>32.879999999999995</v>
      </c>
      <c r="I1374" s="183">
        <f>39.48-6.3</f>
        <v>33.18</v>
      </c>
      <c r="J1374" s="183">
        <f>39.48-6.3</f>
        <v>33.18</v>
      </c>
      <c r="K1374" s="183">
        <v>32.879999999999995</v>
      </c>
      <c r="L1374" s="183">
        <v>33.18</v>
      </c>
      <c r="M1374" s="183">
        <v>33.18</v>
      </c>
      <c r="N1374" s="183"/>
      <c r="O1374" s="183">
        <v>32.879999999999995</v>
      </c>
      <c r="P1374" s="183">
        <v>33.18</v>
      </c>
      <c r="Q1374" s="183">
        <v>33.18</v>
      </c>
      <c r="R1374" s="472">
        <f t="shared" si="526"/>
        <v>0</v>
      </c>
      <c r="S1374" s="472">
        <f t="shared" si="527"/>
        <v>0</v>
      </c>
      <c r="T1374" s="472">
        <f t="shared" si="528"/>
        <v>0</v>
      </c>
      <c r="U1374" s="182" t="s">
        <v>137</v>
      </c>
      <c r="V1374" s="36" t="s">
        <v>634</v>
      </c>
      <c r="W1374" s="37" t="s">
        <v>98</v>
      </c>
      <c r="X1374" s="37" t="s">
        <v>2</v>
      </c>
      <c r="Y1374" s="37" t="s">
        <v>636</v>
      </c>
      <c r="Z1374" s="37" t="s">
        <v>155</v>
      </c>
      <c r="AA1374" s="12" t="b">
        <f t="shared" si="536"/>
        <v>1</v>
      </c>
      <c r="AB1374" s="12" t="b">
        <f t="shared" si="537"/>
        <v>1</v>
      </c>
      <c r="AC1374" s="12" t="b">
        <f t="shared" si="538"/>
        <v>1</v>
      </c>
      <c r="AD1374" s="12" t="b">
        <f t="shared" si="539"/>
        <v>1</v>
      </c>
      <c r="AE1374" s="12" t="b">
        <f t="shared" si="540"/>
        <v>1</v>
      </c>
      <c r="AF1374" s="12" t="b">
        <f t="shared" si="541"/>
        <v>1</v>
      </c>
    </row>
    <row r="1375" spans="1:32" s="12" customFormat="1" ht="15.75" customHeight="1">
      <c r="A1375" s="285"/>
      <c r="B1375" s="22" t="s">
        <v>161</v>
      </c>
      <c r="C1375" s="36" t="s">
        <v>634</v>
      </c>
      <c r="D1375" s="37" t="s">
        <v>98</v>
      </c>
      <c r="E1375" s="37" t="s">
        <v>2</v>
      </c>
      <c r="F1375" s="37" t="s">
        <v>640</v>
      </c>
      <c r="G1375" s="37" t="s">
        <v>90</v>
      </c>
      <c r="H1375" s="183">
        <f>H1376</f>
        <v>12560.429999999998</v>
      </c>
      <c r="I1375" s="183">
        <f>I1376</f>
        <v>12560.429999999998</v>
      </c>
      <c r="J1375" s="183">
        <f>J1376</f>
        <v>12560.429999999998</v>
      </c>
      <c r="K1375" s="183">
        <v>12560.429999999998</v>
      </c>
      <c r="L1375" s="183">
        <v>12560.429999999998</v>
      </c>
      <c r="M1375" s="183">
        <v>12560.429999999998</v>
      </c>
      <c r="N1375" s="183"/>
      <c r="O1375" s="183">
        <v>12560.429999999998</v>
      </c>
      <c r="P1375" s="183">
        <v>12560.429999999998</v>
      </c>
      <c r="Q1375" s="183">
        <v>12560.429999999998</v>
      </c>
      <c r="R1375" s="472">
        <f t="shared" si="526"/>
        <v>0</v>
      </c>
      <c r="S1375" s="472">
        <f t="shared" si="527"/>
        <v>0</v>
      </c>
      <c r="T1375" s="472">
        <f t="shared" si="528"/>
        <v>0</v>
      </c>
      <c r="U1375" s="22" t="s">
        <v>161</v>
      </c>
      <c r="V1375" s="36" t="s">
        <v>634</v>
      </c>
      <c r="W1375" s="37" t="s">
        <v>98</v>
      </c>
      <c r="X1375" s="37" t="s">
        <v>2</v>
      </c>
      <c r="Y1375" s="37" t="s">
        <v>640</v>
      </c>
      <c r="Z1375" s="37" t="s">
        <v>90</v>
      </c>
      <c r="AA1375" s="12" t="b">
        <f t="shared" si="536"/>
        <v>1</v>
      </c>
      <c r="AB1375" s="12" t="b">
        <f t="shared" si="537"/>
        <v>1</v>
      </c>
      <c r="AC1375" s="12" t="b">
        <f t="shared" si="538"/>
        <v>1</v>
      </c>
      <c r="AD1375" s="12" t="b">
        <f t="shared" si="539"/>
        <v>1</v>
      </c>
      <c r="AE1375" s="12" t="b">
        <f t="shared" si="540"/>
        <v>1</v>
      </c>
      <c r="AF1375" s="12" t="b">
        <f t="shared" si="541"/>
        <v>1</v>
      </c>
    </row>
    <row r="1376" spans="1:32" s="12" customFormat="1" ht="15.75" customHeight="1">
      <c r="A1376" s="285"/>
      <c r="B1376" s="182" t="s">
        <v>144</v>
      </c>
      <c r="C1376" s="36" t="s">
        <v>634</v>
      </c>
      <c r="D1376" s="37" t="s">
        <v>98</v>
      </c>
      <c r="E1376" s="37" t="s">
        <v>2</v>
      </c>
      <c r="F1376" s="37" t="s">
        <v>640</v>
      </c>
      <c r="G1376" s="37" t="s">
        <v>152</v>
      </c>
      <c r="H1376" s="183">
        <f>13683.91-2495.23+204.39+499.93-704.32+1120.8+119.41+19.64+112-0.1</f>
        <v>12560.429999999998</v>
      </c>
      <c r="I1376" s="183">
        <f t="shared" ref="I1376:J1376" si="556">13683.91-2495.23+204.39+499.93-704.32+1120.8+119.41+19.64+112-0.1</f>
        <v>12560.429999999998</v>
      </c>
      <c r="J1376" s="183">
        <f t="shared" si="556"/>
        <v>12560.429999999998</v>
      </c>
      <c r="K1376" s="183">
        <v>12560.429999999998</v>
      </c>
      <c r="L1376" s="183">
        <v>12560.429999999998</v>
      </c>
      <c r="M1376" s="183">
        <v>12560.429999999998</v>
      </c>
      <c r="N1376" s="183"/>
      <c r="O1376" s="183">
        <v>12560.429999999998</v>
      </c>
      <c r="P1376" s="183">
        <v>12560.429999999998</v>
      </c>
      <c r="Q1376" s="183">
        <v>12560.429999999998</v>
      </c>
      <c r="R1376" s="472">
        <f t="shared" si="526"/>
        <v>0</v>
      </c>
      <c r="S1376" s="472">
        <f t="shared" si="527"/>
        <v>0</v>
      </c>
      <c r="T1376" s="472">
        <f t="shared" si="528"/>
        <v>0</v>
      </c>
      <c r="U1376" s="182" t="s">
        <v>144</v>
      </c>
      <c r="V1376" s="36" t="s">
        <v>634</v>
      </c>
      <c r="W1376" s="37" t="s">
        <v>98</v>
      </c>
      <c r="X1376" s="37" t="s">
        <v>2</v>
      </c>
      <c r="Y1376" s="37" t="s">
        <v>640</v>
      </c>
      <c r="Z1376" s="37" t="s">
        <v>152</v>
      </c>
      <c r="AA1376" s="12" t="b">
        <f t="shared" si="536"/>
        <v>1</v>
      </c>
      <c r="AB1376" s="12" t="b">
        <f t="shared" si="537"/>
        <v>1</v>
      </c>
      <c r="AC1376" s="12" t="b">
        <f t="shared" si="538"/>
        <v>1</v>
      </c>
      <c r="AD1376" s="12" t="b">
        <f t="shared" si="539"/>
        <v>1</v>
      </c>
      <c r="AE1376" s="12" t="b">
        <f t="shared" si="540"/>
        <v>1</v>
      </c>
      <c r="AF1376" s="12" t="b">
        <f t="shared" si="541"/>
        <v>1</v>
      </c>
    </row>
    <row r="1377" spans="1:32" s="12" customFormat="1" ht="15.75" customHeight="1">
      <c r="A1377" s="285"/>
      <c r="B1377" s="21" t="s">
        <v>1108</v>
      </c>
      <c r="C1377" s="36" t="s">
        <v>634</v>
      </c>
      <c r="D1377" s="37" t="s">
        <v>98</v>
      </c>
      <c r="E1377" s="37" t="s">
        <v>2</v>
      </c>
      <c r="F1377" s="37" t="s">
        <v>1082</v>
      </c>
      <c r="G1377" s="37" t="s">
        <v>90</v>
      </c>
      <c r="H1377" s="183">
        <f t="shared" ref="H1377:J1377" si="557">H1378+H1380</f>
        <v>3602.71</v>
      </c>
      <c r="I1377" s="183">
        <f t="shared" si="557"/>
        <v>3602.71</v>
      </c>
      <c r="J1377" s="183">
        <f t="shared" si="557"/>
        <v>3602.71</v>
      </c>
      <c r="K1377" s="183">
        <v>3602.71</v>
      </c>
      <c r="L1377" s="183">
        <v>3602.71</v>
      </c>
      <c r="M1377" s="183">
        <v>3602.71</v>
      </c>
      <c r="N1377" s="183"/>
      <c r="O1377" s="183">
        <v>3602.71</v>
      </c>
      <c r="P1377" s="183">
        <v>3602.71</v>
      </c>
      <c r="Q1377" s="183">
        <v>3602.71</v>
      </c>
      <c r="R1377" s="472">
        <f t="shared" ref="R1377:R1385" si="558">H1377-O1377</f>
        <v>0</v>
      </c>
      <c r="S1377" s="472">
        <f t="shared" ref="S1377:S1385" si="559">I1377-P1377</f>
        <v>0</v>
      </c>
      <c r="T1377" s="472">
        <f t="shared" ref="T1377:T1385" si="560">J1377-Q1377</f>
        <v>0</v>
      </c>
      <c r="U1377" s="21" t="s">
        <v>1108</v>
      </c>
      <c r="V1377" s="36" t="s">
        <v>634</v>
      </c>
      <c r="W1377" s="37" t="s">
        <v>98</v>
      </c>
      <c r="X1377" s="37" t="s">
        <v>2</v>
      </c>
      <c r="Y1377" s="37" t="s">
        <v>1082</v>
      </c>
      <c r="Z1377" s="37" t="s">
        <v>90</v>
      </c>
      <c r="AA1377" s="12" t="b">
        <f t="shared" si="536"/>
        <v>1</v>
      </c>
      <c r="AB1377" s="12" t="b">
        <f t="shared" si="537"/>
        <v>1</v>
      </c>
      <c r="AC1377" s="12" t="b">
        <f t="shared" si="538"/>
        <v>1</v>
      </c>
      <c r="AD1377" s="12" t="b">
        <f t="shared" si="539"/>
        <v>1</v>
      </c>
      <c r="AE1377" s="12" t="b">
        <f t="shared" si="540"/>
        <v>1</v>
      </c>
      <c r="AF1377" s="12" t="b">
        <f t="shared" si="541"/>
        <v>1</v>
      </c>
    </row>
    <row r="1378" spans="1:32" s="12" customFormat="1" ht="15.75" customHeight="1">
      <c r="A1378" s="285"/>
      <c r="B1378" s="182" t="s">
        <v>151</v>
      </c>
      <c r="C1378" s="36" t="s">
        <v>634</v>
      </c>
      <c r="D1378" s="37" t="s">
        <v>98</v>
      </c>
      <c r="E1378" s="37" t="s">
        <v>2</v>
      </c>
      <c r="F1378" s="37" t="s">
        <v>1083</v>
      </c>
      <c r="G1378" s="37" t="s">
        <v>90</v>
      </c>
      <c r="H1378" s="183">
        <f>SUM(H1379:H1379)</f>
        <v>83.1</v>
      </c>
      <c r="I1378" s="183">
        <f>SUM(I1379:I1379)</f>
        <v>83.1</v>
      </c>
      <c r="J1378" s="183">
        <f>SUM(J1379:J1379)</f>
        <v>83.1</v>
      </c>
      <c r="K1378" s="183">
        <v>83.1</v>
      </c>
      <c r="L1378" s="183">
        <v>83.1</v>
      </c>
      <c r="M1378" s="183">
        <v>83.1</v>
      </c>
      <c r="N1378" s="183"/>
      <c r="O1378" s="183">
        <v>83.1</v>
      </c>
      <c r="P1378" s="183">
        <v>83.1</v>
      </c>
      <c r="Q1378" s="183">
        <v>83.1</v>
      </c>
      <c r="R1378" s="472">
        <f t="shared" si="558"/>
        <v>0</v>
      </c>
      <c r="S1378" s="472">
        <f t="shared" si="559"/>
        <v>0</v>
      </c>
      <c r="T1378" s="472">
        <f t="shared" si="560"/>
        <v>0</v>
      </c>
      <c r="U1378" s="182" t="s">
        <v>151</v>
      </c>
      <c r="V1378" s="36" t="s">
        <v>634</v>
      </c>
      <c r="W1378" s="37" t="s">
        <v>98</v>
      </c>
      <c r="X1378" s="37" t="s">
        <v>2</v>
      </c>
      <c r="Y1378" s="37" t="s">
        <v>1083</v>
      </c>
      <c r="Z1378" s="37" t="s">
        <v>90</v>
      </c>
      <c r="AA1378" s="12" t="b">
        <f t="shared" si="536"/>
        <v>1</v>
      </c>
      <c r="AB1378" s="12" t="b">
        <f t="shared" si="537"/>
        <v>1</v>
      </c>
      <c r="AC1378" s="12" t="b">
        <f t="shared" si="538"/>
        <v>1</v>
      </c>
      <c r="AD1378" s="12" t="b">
        <f t="shared" si="539"/>
        <v>1</v>
      </c>
      <c r="AE1378" s="12" t="b">
        <f t="shared" si="540"/>
        <v>1</v>
      </c>
      <c r="AF1378" s="12" t="b">
        <f t="shared" si="541"/>
        <v>1</v>
      </c>
    </row>
    <row r="1379" spans="1:32" s="12" customFormat="1" ht="15.75" customHeight="1">
      <c r="A1379" s="285"/>
      <c r="B1379" s="182" t="s">
        <v>144</v>
      </c>
      <c r="C1379" s="36" t="s">
        <v>634</v>
      </c>
      <c r="D1379" s="37" t="s">
        <v>98</v>
      </c>
      <c r="E1379" s="37" t="s">
        <v>2</v>
      </c>
      <c r="F1379" s="37" t="s">
        <v>1083</v>
      </c>
      <c r="G1379" s="37" t="s">
        <v>152</v>
      </c>
      <c r="H1379" s="183">
        <f>69.25+13.85</f>
        <v>83.1</v>
      </c>
      <c r="I1379" s="183">
        <f t="shared" ref="I1379:J1379" si="561">69.25+13.85</f>
        <v>83.1</v>
      </c>
      <c r="J1379" s="183">
        <f t="shared" si="561"/>
        <v>83.1</v>
      </c>
      <c r="K1379" s="183">
        <v>83.1</v>
      </c>
      <c r="L1379" s="183">
        <v>83.1</v>
      </c>
      <c r="M1379" s="183">
        <v>83.1</v>
      </c>
      <c r="N1379" s="183"/>
      <c r="O1379" s="183">
        <v>83.1</v>
      </c>
      <c r="P1379" s="183">
        <v>83.1</v>
      </c>
      <c r="Q1379" s="183">
        <v>83.1</v>
      </c>
      <c r="R1379" s="472">
        <f t="shared" si="558"/>
        <v>0</v>
      </c>
      <c r="S1379" s="472">
        <f t="shared" si="559"/>
        <v>0</v>
      </c>
      <c r="T1379" s="472">
        <f t="shared" si="560"/>
        <v>0</v>
      </c>
      <c r="U1379" s="182" t="s">
        <v>144</v>
      </c>
      <c r="V1379" s="36" t="s">
        <v>634</v>
      </c>
      <c r="W1379" s="37" t="s">
        <v>98</v>
      </c>
      <c r="X1379" s="37" t="s">
        <v>2</v>
      </c>
      <c r="Y1379" s="37" t="s">
        <v>1083</v>
      </c>
      <c r="Z1379" s="37" t="s">
        <v>152</v>
      </c>
      <c r="AA1379" s="12" t="b">
        <f t="shared" si="536"/>
        <v>1</v>
      </c>
      <c r="AB1379" s="12" t="b">
        <f t="shared" si="537"/>
        <v>1</v>
      </c>
      <c r="AC1379" s="12" t="b">
        <f t="shared" si="538"/>
        <v>1</v>
      </c>
      <c r="AD1379" s="12" t="b">
        <f t="shared" si="539"/>
        <v>1</v>
      </c>
      <c r="AE1379" s="12" t="b">
        <f t="shared" si="540"/>
        <v>1</v>
      </c>
      <c r="AF1379" s="12" t="b">
        <f t="shared" si="541"/>
        <v>1</v>
      </c>
    </row>
    <row r="1380" spans="1:32" s="12" customFormat="1" ht="15.75" customHeight="1">
      <c r="A1380" s="285"/>
      <c r="B1380" s="22" t="s">
        <v>161</v>
      </c>
      <c r="C1380" s="36" t="s">
        <v>634</v>
      </c>
      <c r="D1380" s="37" t="s">
        <v>98</v>
      </c>
      <c r="E1380" s="37" t="s">
        <v>2</v>
      </c>
      <c r="F1380" s="37" t="s">
        <v>1084</v>
      </c>
      <c r="G1380" s="37" t="s">
        <v>90</v>
      </c>
      <c r="H1380" s="183">
        <f>H1381</f>
        <v>3519.61</v>
      </c>
      <c r="I1380" s="183">
        <f>I1381</f>
        <v>3519.61</v>
      </c>
      <c r="J1380" s="183">
        <f>J1381</f>
        <v>3519.61</v>
      </c>
      <c r="K1380" s="183">
        <v>3519.61</v>
      </c>
      <c r="L1380" s="183">
        <v>3519.61</v>
      </c>
      <c r="M1380" s="183">
        <v>3519.61</v>
      </c>
      <c r="N1380" s="183"/>
      <c r="O1380" s="183">
        <v>3519.61</v>
      </c>
      <c r="P1380" s="183">
        <v>3519.61</v>
      </c>
      <c r="Q1380" s="183">
        <v>3519.61</v>
      </c>
      <c r="R1380" s="472">
        <f t="shared" si="558"/>
        <v>0</v>
      </c>
      <c r="S1380" s="472">
        <f t="shared" si="559"/>
        <v>0</v>
      </c>
      <c r="T1380" s="472">
        <f t="shared" si="560"/>
        <v>0</v>
      </c>
      <c r="U1380" s="22" t="s">
        <v>161</v>
      </c>
      <c r="V1380" s="36" t="s">
        <v>634</v>
      </c>
      <c r="W1380" s="37" t="s">
        <v>98</v>
      </c>
      <c r="X1380" s="37" t="s">
        <v>2</v>
      </c>
      <c r="Y1380" s="37" t="s">
        <v>1084</v>
      </c>
      <c r="Z1380" s="37" t="s">
        <v>90</v>
      </c>
      <c r="AA1380" s="12" t="b">
        <f t="shared" si="536"/>
        <v>1</v>
      </c>
      <c r="AB1380" s="12" t="b">
        <f t="shared" si="537"/>
        <v>1</v>
      </c>
      <c r="AC1380" s="12" t="b">
        <f t="shared" si="538"/>
        <v>1</v>
      </c>
      <c r="AD1380" s="12" t="b">
        <f t="shared" si="539"/>
        <v>1</v>
      </c>
      <c r="AE1380" s="12" t="b">
        <f t="shared" si="540"/>
        <v>1</v>
      </c>
      <c r="AF1380" s="12" t="b">
        <f t="shared" si="541"/>
        <v>1</v>
      </c>
    </row>
    <row r="1381" spans="1:32" s="12" customFormat="1" ht="15.75" customHeight="1">
      <c r="A1381" s="285"/>
      <c r="B1381" s="182" t="s">
        <v>144</v>
      </c>
      <c r="C1381" s="36" t="s">
        <v>634</v>
      </c>
      <c r="D1381" s="37" t="s">
        <v>98</v>
      </c>
      <c r="E1381" s="37" t="s">
        <v>2</v>
      </c>
      <c r="F1381" s="37" t="s">
        <v>1084</v>
      </c>
      <c r="G1381" s="37" t="s">
        <v>152</v>
      </c>
      <c r="H1381" s="183">
        <f>2495.23+704.31+319.96+0.11</f>
        <v>3519.61</v>
      </c>
      <c r="I1381" s="183">
        <f t="shared" ref="I1381:J1381" si="562">2495.23+704.31+319.96+0.11</f>
        <v>3519.61</v>
      </c>
      <c r="J1381" s="183">
        <f t="shared" si="562"/>
        <v>3519.61</v>
      </c>
      <c r="K1381" s="183">
        <v>3519.61</v>
      </c>
      <c r="L1381" s="183">
        <v>3519.61</v>
      </c>
      <c r="M1381" s="183">
        <v>3519.61</v>
      </c>
      <c r="N1381" s="183"/>
      <c r="O1381" s="183">
        <v>3519.61</v>
      </c>
      <c r="P1381" s="183">
        <v>3519.61</v>
      </c>
      <c r="Q1381" s="183">
        <v>3519.61</v>
      </c>
      <c r="R1381" s="472">
        <f t="shared" si="558"/>
        <v>0</v>
      </c>
      <c r="S1381" s="472">
        <f t="shared" si="559"/>
        <v>0</v>
      </c>
      <c r="T1381" s="472">
        <f t="shared" si="560"/>
        <v>0</v>
      </c>
      <c r="U1381" s="182" t="s">
        <v>144</v>
      </c>
      <c r="V1381" s="36" t="s">
        <v>634</v>
      </c>
      <c r="W1381" s="37" t="s">
        <v>98</v>
      </c>
      <c r="X1381" s="37" t="s">
        <v>2</v>
      </c>
      <c r="Y1381" s="37" t="s">
        <v>1084</v>
      </c>
      <c r="Z1381" s="37" t="s">
        <v>152</v>
      </c>
      <c r="AA1381" s="12" t="b">
        <f t="shared" si="536"/>
        <v>1</v>
      </c>
      <c r="AB1381" s="12" t="b">
        <f t="shared" si="537"/>
        <v>1</v>
      </c>
      <c r="AC1381" s="12" t="b">
        <f t="shared" si="538"/>
        <v>1</v>
      </c>
      <c r="AD1381" s="12" t="b">
        <f t="shared" si="539"/>
        <v>1</v>
      </c>
      <c r="AE1381" s="12" t="b">
        <f t="shared" si="540"/>
        <v>1</v>
      </c>
      <c r="AF1381" s="12" t="b">
        <f t="shared" si="541"/>
        <v>1</v>
      </c>
    </row>
    <row r="1382" spans="1:32" s="12" customFormat="1" ht="15.75" customHeight="1">
      <c r="A1382" s="285"/>
      <c r="B1382" s="418"/>
      <c r="C1382" s="36"/>
      <c r="D1382" s="37"/>
      <c r="E1382" s="37"/>
      <c r="F1382" s="37"/>
      <c r="G1382" s="37"/>
      <c r="H1382" s="183"/>
      <c r="I1382" s="183"/>
      <c r="J1382" s="183"/>
      <c r="K1382" s="183"/>
      <c r="L1382" s="183"/>
      <c r="M1382" s="183"/>
      <c r="N1382" s="183"/>
      <c r="O1382" s="183"/>
      <c r="P1382" s="183"/>
      <c r="Q1382" s="183"/>
      <c r="R1382" s="472">
        <f t="shared" si="558"/>
        <v>0</v>
      </c>
      <c r="S1382" s="472">
        <f t="shared" si="559"/>
        <v>0</v>
      </c>
      <c r="T1382" s="472">
        <f t="shared" si="560"/>
        <v>0</v>
      </c>
      <c r="U1382" s="418"/>
      <c r="V1382" s="36"/>
      <c r="W1382" s="37"/>
      <c r="X1382" s="37"/>
      <c r="Y1382" s="37"/>
      <c r="Z1382" s="37"/>
      <c r="AA1382" s="12" t="b">
        <f t="shared" si="536"/>
        <v>1</v>
      </c>
      <c r="AB1382" s="12" t="b">
        <f t="shared" si="537"/>
        <v>1</v>
      </c>
      <c r="AC1382" s="12" t="b">
        <f t="shared" si="538"/>
        <v>1</v>
      </c>
      <c r="AD1382" s="12" t="b">
        <f t="shared" si="539"/>
        <v>1</v>
      </c>
      <c r="AE1382" s="12" t="b">
        <f t="shared" si="540"/>
        <v>1</v>
      </c>
      <c r="AF1382" s="12" t="b">
        <f t="shared" si="541"/>
        <v>1</v>
      </c>
    </row>
    <row r="1383" spans="1:32" s="12" customFormat="1" ht="15.75" customHeight="1">
      <c r="A1383" s="285"/>
      <c r="B1383" s="418" t="s">
        <v>850</v>
      </c>
      <c r="C1383" s="36"/>
      <c r="D1383" s="37"/>
      <c r="E1383" s="37"/>
      <c r="F1383" s="37"/>
      <c r="G1383" s="37"/>
      <c r="H1383" s="183"/>
      <c r="I1383" s="183">
        <f>177555.3-15000</f>
        <v>162555.29999999999</v>
      </c>
      <c r="J1383" s="183">
        <f>316847.49-3815.44</f>
        <v>313032.05</v>
      </c>
      <c r="K1383" s="183"/>
      <c r="L1383" s="183">
        <v>162555.29999999999</v>
      </c>
      <c r="M1383" s="183">
        <v>313032.05</v>
      </c>
      <c r="N1383" s="183"/>
      <c r="O1383" s="183"/>
      <c r="P1383" s="183">
        <v>177555.3</v>
      </c>
      <c r="Q1383" s="183">
        <v>316847.49</v>
      </c>
      <c r="R1383" s="472">
        <f t="shared" si="558"/>
        <v>0</v>
      </c>
      <c r="S1383" s="472">
        <f t="shared" si="559"/>
        <v>-15000</v>
      </c>
      <c r="T1383" s="472">
        <f t="shared" si="560"/>
        <v>-3815.4400000000023</v>
      </c>
      <c r="U1383" s="418" t="s">
        <v>850</v>
      </c>
      <c r="V1383" s="36"/>
      <c r="W1383" s="37"/>
      <c r="X1383" s="37"/>
      <c r="Y1383" s="37"/>
      <c r="Z1383" s="37"/>
      <c r="AA1383" s="12" t="b">
        <f t="shared" si="536"/>
        <v>1</v>
      </c>
      <c r="AB1383" s="12" t="b">
        <f t="shared" si="537"/>
        <v>1</v>
      </c>
      <c r="AC1383" s="12" t="b">
        <f t="shared" si="538"/>
        <v>1</v>
      </c>
      <c r="AD1383" s="12" t="b">
        <f t="shared" si="539"/>
        <v>1</v>
      </c>
      <c r="AE1383" s="12" t="b">
        <f t="shared" si="540"/>
        <v>1</v>
      </c>
      <c r="AF1383" s="12" t="b">
        <f t="shared" si="541"/>
        <v>1</v>
      </c>
    </row>
    <row r="1384" spans="1:32" s="12" customFormat="1" ht="15.75" customHeight="1">
      <c r="A1384" s="285"/>
      <c r="B1384" s="418"/>
      <c r="C1384" s="36"/>
      <c r="D1384" s="37"/>
      <c r="E1384" s="37"/>
      <c r="F1384" s="461"/>
      <c r="G1384" s="37"/>
      <c r="H1384" s="183"/>
      <c r="I1384" s="183"/>
      <c r="J1384" s="183"/>
      <c r="K1384" s="183"/>
      <c r="L1384" s="183"/>
      <c r="M1384" s="183"/>
      <c r="N1384" s="183"/>
      <c r="O1384" s="183"/>
      <c r="P1384" s="183"/>
      <c r="Q1384" s="183"/>
      <c r="R1384" s="472">
        <f t="shared" si="558"/>
        <v>0</v>
      </c>
      <c r="S1384" s="472">
        <f t="shared" si="559"/>
        <v>0</v>
      </c>
      <c r="T1384" s="472">
        <f t="shared" si="560"/>
        <v>0</v>
      </c>
      <c r="U1384" s="418"/>
      <c r="V1384" s="36"/>
      <c r="W1384" s="37"/>
      <c r="X1384" s="37"/>
      <c r="Y1384" s="461"/>
      <c r="Z1384" s="37"/>
      <c r="AA1384" s="12" t="b">
        <f t="shared" si="536"/>
        <v>1</v>
      </c>
      <c r="AB1384" s="12" t="b">
        <f t="shared" si="537"/>
        <v>1</v>
      </c>
      <c r="AC1384" s="12" t="b">
        <f t="shared" si="538"/>
        <v>1</v>
      </c>
      <c r="AD1384" s="12" t="b">
        <f t="shared" si="539"/>
        <v>1</v>
      </c>
      <c r="AE1384" s="12" t="b">
        <f t="shared" si="540"/>
        <v>1</v>
      </c>
      <c r="AF1384" s="12" t="b">
        <f t="shared" si="541"/>
        <v>1</v>
      </c>
    </row>
    <row r="1385" spans="1:32" ht="15.75" customHeight="1">
      <c r="B1385" s="18" t="s">
        <v>73</v>
      </c>
      <c r="C1385" s="424"/>
      <c r="D1385" s="26"/>
      <c r="E1385" s="26"/>
      <c r="F1385" s="26"/>
      <c r="G1385" s="26"/>
      <c r="H1385" s="43">
        <f>H5+H37+H164+H207+H238+H318+H507+H653+H818+H898+H970+H1032+H1102+H1242+H1322+H1366+H1383</f>
        <v>16659028.299999997</v>
      </c>
      <c r="I1385" s="43">
        <f>I5+I37+I164+I207+I238+I318+I507+I653+I818+I898+I970+I1032+I1102+I1242+I1322+I1366+I1383</f>
        <v>14540318.02</v>
      </c>
      <c r="J1385" s="43">
        <f>J5+J37+J164+J207+J238+J318+J507+J653+J818+J898+J970+J1032+J1102+J1242+J1322+J1366+J1383</f>
        <v>12515539.110000003</v>
      </c>
      <c r="K1385" s="43">
        <v>16113052.159999998</v>
      </c>
      <c r="L1385" s="43">
        <v>13926253.769999998</v>
      </c>
      <c r="M1385" s="43">
        <v>11902789.560000002</v>
      </c>
      <c r="N1385" s="43"/>
      <c r="O1385" s="43">
        <v>15588226.289999999</v>
      </c>
      <c r="P1385" s="43">
        <v>13926253.770000001</v>
      </c>
      <c r="Q1385" s="43">
        <v>11888436.959999997</v>
      </c>
      <c r="R1385" s="472">
        <f t="shared" si="558"/>
        <v>1070802.0099999979</v>
      </c>
      <c r="S1385" s="472">
        <f t="shared" si="559"/>
        <v>614064.24999999814</v>
      </c>
      <c r="T1385" s="472">
        <f t="shared" si="560"/>
        <v>627102.15000000596</v>
      </c>
      <c r="U1385" s="18" t="s">
        <v>73</v>
      </c>
      <c r="V1385" s="424"/>
      <c r="W1385" s="26"/>
      <c r="X1385" s="26"/>
      <c r="Y1385" s="26"/>
      <c r="Z1385" s="26"/>
      <c r="AA1385" s="12" t="b">
        <f t="shared" si="536"/>
        <v>1</v>
      </c>
      <c r="AB1385" s="12" t="b">
        <f t="shared" si="537"/>
        <v>1</v>
      </c>
      <c r="AC1385" s="12" t="b">
        <f t="shared" si="538"/>
        <v>1</v>
      </c>
      <c r="AD1385" s="12" t="b">
        <f t="shared" si="539"/>
        <v>1</v>
      </c>
      <c r="AE1385" s="12" t="b">
        <f t="shared" si="540"/>
        <v>1</v>
      </c>
      <c r="AF1385" s="12" t="b">
        <f t="shared" si="541"/>
        <v>1</v>
      </c>
    </row>
  </sheetData>
  <autoFilter ref="B1:T1385">
    <filterColumn colId="4"/>
    <filterColumn colId="5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</autoFilter>
  <pageMargins left="0.23622047244094491" right="0.15748031496062992" top="0.27559055118110237" bottom="0.27559055118110237" header="0.19685039370078741" footer="0.15748031496062992"/>
  <pageSetup paperSize="9" fitToHeight="0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rgb="FFFFCCFF"/>
    <pageSetUpPr fitToPage="1"/>
  </sheetPr>
  <dimension ref="A1:S53"/>
  <sheetViews>
    <sheetView view="pageBreakPreview" zoomScale="78" zoomScaleSheetLayoutView="78" workbookViewId="0">
      <pane xSplit="2" ySplit="8" topLeftCell="C36" activePane="bottomRight" state="frozen"/>
      <selection activeCell="L31" activeCellId="1" sqref="K28:N28 L31"/>
      <selection pane="topRight" activeCell="L31" activeCellId="1" sqref="K28:N28 L31"/>
      <selection pane="bottomLeft" activeCell="L31" activeCellId="1" sqref="K28:N28 L31"/>
      <selection pane="bottomRight" activeCell="C9" sqref="C9:E28"/>
    </sheetView>
  </sheetViews>
  <sheetFormatPr defaultRowHeight="18"/>
  <cols>
    <col min="1" max="1" width="5.7265625" style="150" customWidth="1"/>
    <col min="2" max="2" width="31.54296875" style="130" customWidth="1"/>
    <col min="3" max="3" width="15.08984375" style="161" customWidth="1"/>
    <col min="4" max="4" width="11.7265625" style="161" customWidth="1"/>
    <col min="5" max="5" width="12" style="161" customWidth="1"/>
    <col min="6" max="6" width="10.54296875" style="161" customWidth="1"/>
    <col min="7" max="7" width="12.26953125" style="161" customWidth="1"/>
    <col min="8" max="8" width="11.7265625" style="161" customWidth="1"/>
    <col min="9" max="9" width="12.26953125" style="161" customWidth="1"/>
    <col min="10" max="10" width="12" style="161" customWidth="1"/>
    <col min="11" max="11" width="12.90625" style="161" customWidth="1"/>
    <col min="12" max="13" width="11.7265625" style="130" bestFit="1" customWidth="1"/>
    <col min="14" max="14" width="11.7265625" bestFit="1" customWidth="1"/>
  </cols>
  <sheetData>
    <row r="1" spans="1:13">
      <c r="A1" s="149"/>
      <c r="B1" s="125"/>
      <c r="C1" s="160"/>
      <c r="D1" s="160"/>
      <c r="E1" s="160"/>
      <c r="F1" s="160"/>
      <c r="G1" s="160"/>
      <c r="H1" s="160"/>
      <c r="I1" s="160"/>
      <c r="J1" s="160"/>
    </row>
    <row r="2" spans="1:13">
      <c r="A2" s="149"/>
      <c r="B2" s="125"/>
      <c r="C2" s="160"/>
      <c r="D2" s="160"/>
      <c r="E2" s="160"/>
      <c r="F2" s="160"/>
      <c r="G2" s="160"/>
      <c r="H2" s="160"/>
      <c r="I2" s="160"/>
      <c r="J2" s="160"/>
    </row>
    <row r="3" spans="1:13">
      <c r="A3" s="149"/>
      <c r="B3" s="125"/>
      <c r="C3" s="160"/>
      <c r="D3" s="160"/>
      <c r="E3" s="160"/>
      <c r="F3" s="160"/>
      <c r="G3" s="160"/>
      <c r="H3" s="160"/>
      <c r="I3" s="160"/>
      <c r="J3" s="160"/>
      <c r="K3" s="153"/>
    </row>
    <row r="4" spans="1:13" ht="18.75">
      <c r="B4" s="540" t="s">
        <v>1008</v>
      </c>
      <c r="C4" s="540"/>
      <c r="D4" s="540"/>
      <c r="E4" s="540"/>
      <c r="F4" s="540"/>
      <c r="G4" s="540"/>
      <c r="H4" s="540"/>
      <c r="I4" s="540"/>
      <c r="J4" s="540"/>
      <c r="K4" s="540"/>
    </row>
    <row r="5" spans="1:13" ht="18.75">
      <c r="A5" s="151"/>
      <c r="B5" s="126"/>
      <c r="C5" s="131"/>
      <c r="D5" s="131"/>
      <c r="E5" s="131"/>
      <c r="F5" s="131"/>
      <c r="G5" s="131"/>
      <c r="H5" s="131"/>
      <c r="I5" s="131"/>
      <c r="J5" s="131"/>
      <c r="K5" s="131"/>
    </row>
    <row r="6" spans="1:13">
      <c r="A6" s="544" t="s">
        <v>617</v>
      </c>
      <c r="B6" s="546" t="s">
        <v>22</v>
      </c>
      <c r="C6" s="548" t="e">
        <f>'ПРОВЕРКА прогр-непрогр'!#REF!</f>
        <v>#REF!</v>
      </c>
      <c r="D6" s="551" t="s">
        <v>595</v>
      </c>
      <c r="E6" s="552"/>
      <c r="F6" s="555" t="s">
        <v>596</v>
      </c>
      <c r="G6" s="556"/>
      <c r="H6" s="556"/>
      <c r="I6" s="550" t="s">
        <v>929</v>
      </c>
      <c r="J6" s="553" t="s">
        <v>595</v>
      </c>
      <c r="K6" s="554"/>
    </row>
    <row r="7" spans="1:13" ht="94.5">
      <c r="A7" s="545"/>
      <c r="B7" s="547"/>
      <c r="C7" s="549"/>
      <c r="D7" s="342" t="s">
        <v>832</v>
      </c>
      <c r="E7" s="342" t="s">
        <v>597</v>
      </c>
      <c r="F7" s="147" t="s">
        <v>598</v>
      </c>
      <c r="G7" s="147" t="s">
        <v>833</v>
      </c>
      <c r="H7" s="147" t="s">
        <v>599</v>
      </c>
      <c r="I7" s="550"/>
      <c r="J7" s="298" t="s">
        <v>832</v>
      </c>
      <c r="K7" s="298" t="s">
        <v>597</v>
      </c>
    </row>
    <row r="8" spans="1:13">
      <c r="A8" s="542">
        <v>1</v>
      </c>
      <c r="B8" s="543"/>
      <c r="C8" s="154" t="s">
        <v>600</v>
      </c>
      <c r="D8" s="154" t="s">
        <v>480</v>
      </c>
      <c r="E8" s="154" t="s">
        <v>481</v>
      </c>
      <c r="F8" s="155" t="s">
        <v>483</v>
      </c>
      <c r="G8" s="155" t="s">
        <v>484</v>
      </c>
      <c r="H8" s="155" t="s">
        <v>601</v>
      </c>
      <c r="I8" s="156" t="s">
        <v>13</v>
      </c>
      <c r="J8" s="156" t="s">
        <v>112</v>
      </c>
      <c r="K8" s="156" t="s">
        <v>72</v>
      </c>
    </row>
    <row r="9" spans="1:13" ht="31.5">
      <c r="A9" s="375" t="s">
        <v>98</v>
      </c>
      <c r="B9" s="127" t="s">
        <v>647</v>
      </c>
      <c r="C9" s="157">
        <v>8493667.5799999982</v>
      </c>
      <c r="D9" s="157">
        <v>2441602.6599999983</v>
      </c>
      <c r="E9" s="157">
        <v>6052064.9199999999</v>
      </c>
      <c r="F9" s="158" t="e">
        <f t="shared" ref="F9:F27" si="0">SUM(G9:H9)</f>
        <v>#REF!</v>
      </c>
      <c r="G9" s="158" t="e">
        <f t="shared" ref="G9:G27" si="1">J9-D9</f>
        <v>#REF!</v>
      </c>
      <c r="H9" s="158" t="e">
        <f t="shared" ref="H9:H27" si="2">K9-E9</f>
        <v>#REF!</v>
      </c>
      <c r="I9" s="159">
        <f>'ПРОВЕРКА прогр-непрогр'!C7</f>
        <v>8566509.5999999978</v>
      </c>
      <c r="J9" s="159" t="e">
        <f>I9-K9</f>
        <v>#REF!</v>
      </c>
      <c r="K9" s="159" t="e">
        <f>'МП и неМП'!#REF!+'МП и неМП'!#REF!+'МП и неМП'!#REF!+'МП и неМП'!#REF!+'МП и неМП'!#REF!+'МП и неМП'!#REF!+'МП и неМП'!#REF!+'МП и неМП'!#REF!+'МП и неМП'!#REF!+'МП и неМП'!#REF!+'МП и неМП'!#REF!+'МП и неМП'!#REF!+'МП и неМП'!#REF!+'МП и неМП'!#REF!+'МП и неМП'!#REF!+'МП и неМП'!#REF!</f>
        <v>#REF!</v>
      </c>
      <c r="L9" s="165">
        <f>'ПРОВЕРКА прогр-непрогр'!C7</f>
        <v>8566509.5999999978</v>
      </c>
      <c r="M9" s="165">
        <f t="shared" ref="M9:M28" si="3">I9-L9</f>
        <v>0</v>
      </c>
    </row>
    <row r="10" spans="1:13" s="116" customFormat="1" ht="78.75">
      <c r="A10" s="375" t="s">
        <v>99</v>
      </c>
      <c r="B10" s="127" t="s">
        <v>649</v>
      </c>
      <c r="C10" s="157">
        <v>10141.950000000001</v>
      </c>
      <c r="D10" s="157">
        <v>10141.950000000001</v>
      </c>
      <c r="E10" s="157">
        <v>0</v>
      </c>
      <c r="F10" s="158">
        <f t="shared" si="0"/>
        <v>-4890.4900000000007</v>
      </c>
      <c r="G10" s="158">
        <f t="shared" si="1"/>
        <v>-4890.4900000000007</v>
      </c>
      <c r="H10" s="158">
        <f t="shared" si="2"/>
        <v>0</v>
      </c>
      <c r="I10" s="159">
        <f>'ПРОВЕРКА прогр-непрогр'!C8</f>
        <v>5251.46</v>
      </c>
      <c r="J10" s="159">
        <f t="shared" ref="J10:J27" si="4">I10-K10</f>
        <v>5251.46</v>
      </c>
      <c r="K10" s="159">
        <v>0</v>
      </c>
      <c r="L10" s="165">
        <f>'ПРОВЕРКА прогр-непрогр'!C8</f>
        <v>5251.46</v>
      </c>
      <c r="M10" s="165">
        <f t="shared" si="3"/>
        <v>0</v>
      </c>
    </row>
    <row r="11" spans="1:13" s="116" customFormat="1" ht="31.5">
      <c r="A11" s="100" t="s">
        <v>85</v>
      </c>
      <c r="B11" s="127" t="s">
        <v>650</v>
      </c>
      <c r="C11" s="157">
        <v>3955658.6000000006</v>
      </c>
      <c r="D11" s="157">
        <v>88892.69000000041</v>
      </c>
      <c r="E11" s="157">
        <v>3866765.91</v>
      </c>
      <c r="F11" s="158" t="e">
        <f t="shared" si="0"/>
        <v>#REF!</v>
      </c>
      <c r="G11" s="158" t="e">
        <f t="shared" si="1"/>
        <v>#REF!</v>
      </c>
      <c r="H11" s="158" t="e">
        <f t="shared" si="2"/>
        <v>#REF!</v>
      </c>
      <c r="I11" s="159">
        <f>'ПРОВЕРКА прогр-непрогр'!C9</f>
        <v>2813717.33</v>
      </c>
      <c r="J11" s="159" t="e">
        <f t="shared" si="4"/>
        <v>#REF!</v>
      </c>
      <c r="K11" s="159" t="e">
        <f>'МП и неМП'!#REF!</f>
        <v>#REF!</v>
      </c>
      <c r="L11" s="378">
        <f>'ПРОВЕРКА прогр-непрогр'!C9</f>
        <v>2813717.33</v>
      </c>
      <c r="M11" s="378">
        <f t="shared" si="3"/>
        <v>0</v>
      </c>
    </row>
    <row r="12" spans="1:13" s="379" customFormat="1" ht="78.75">
      <c r="A12" s="377" t="s">
        <v>69</v>
      </c>
      <c r="B12" s="127" t="s">
        <v>646</v>
      </c>
      <c r="C12" s="157">
        <v>2286181.8699999996</v>
      </c>
      <c r="D12" s="157">
        <v>1397867.2899999996</v>
      </c>
      <c r="E12" s="157">
        <v>888314.58000000007</v>
      </c>
      <c r="F12" s="158" t="e">
        <f t="shared" si="0"/>
        <v>#REF!</v>
      </c>
      <c r="G12" s="158" t="e">
        <f t="shared" si="1"/>
        <v>#REF!</v>
      </c>
      <c r="H12" s="158" t="e">
        <f t="shared" si="2"/>
        <v>#REF!</v>
      </c>
      <c r="I12" s="159">
        <f>'ПРОВЕРКА прогр-непрогр'!C10</f>
        <v>2006767.4400000004</v>
      </c>
      <c r="J12" s="159" t="e">
        <f t="shared" si="4"/>
        <v>#REF!</v>
      </c>
      <c r="K12" s="159" t="e">
        <f>'МП и неМП'!#REF!+'МП и неМП'!#REF!+'МП и неМП'!#REF!+'МП и неМП'!#REF!+'МП и неМП'!#REF!+'МП и неМП'!#REF!+'МП и неМП'!#REF!+'МП и неМП'!#REF!+'МП и неМП'!#REF!+'МП и неМП'!#REF!+'МП и неМП'!#REF!</f>
        <v>#REF!</v>
      </c>
      <c r="L12" s="378">
        <f>'ПРОВЕРКА прогр-непрогр'!C10</f>
        <v>2006767.4400000004</v>
      </c>
      <c r="M12" s="378">
        <f t="shared" si="3"/>
        <v>0</v>
      </c>
    </row>
    <row r="13" spans="1:13" s="116" customFormat="1" ht="47.25">
      <c r="A13" s="375" t="s">
        <v>7</v>
      </c>
      <c r="B13" s="127" t="s">
        <v>652</v>
      </c>
      <c r="C13" s="157">
        <v>5338.6799999999994</v>
      </c>
      <c r="D13" s="157">
        <v>5338.6799999999994</v>
      </c>
      <c r="E13" s="157">
        <v>0</v>
      </c>
      <c r="F13" s="158">
        <f t="shared" si="0"/>
        <v>4149.62</v>
      </c>
      <c r="G13" s="158">
        <f t="shared" si="1"/>
        <v>4149.62</v>
      </c>
      <c r="H13" s="158">
        <f t="shared" si="2"/>
        <v>0</v>
      </c>
      <c r="I13" s="159">
        <f>'ПРОВЕРКА прогр-непрогр'!C11</f>
        <v>9488.2999999999993</v>
      </c>
      <c r="J13" s="159">
        <f t="shared" si="4"/>
        <v>9488.2999999999993</v>
      </c>
      <c r="K13" s="159">
        <v>0</v>
      </c>
      <c r="L13" s="165">
        <f>'ПРОВЕРКА прогр-непрогр'!C11</f>
        <v>9488.2999999999993</v>
      </c>
      <c r="M13" s="165">
        <f t="shared" si="3"/>
        <v>0</v>
      </c>
    </row>
    <row r="14" spans="1:13" s="116" customFormat="1" ht="31.5">
      <c r="A14" s="375" t="s">
        <v>2</v>
      </c>
      <c r="B14" s="127" t="s">
        <v>655</v>
      </c>
      <c r="C14" s="157">
        <v>88958.19</v>
      </c>
      <c r="D14" s="157">
        <v>10932.23000000001</v>
      </c>
      <c r="E14" s="157">
        <v>78025.959999999992</v>
      </c>
      <c r="F14" s="158" t="e">
        <f t="shared" si="0"/>
        <v>#REF!</v>
      </c>
      <c r="G14" s="158" t="e">
        <f t="shared" si="1"/>
        <v>#REF!</v>
      </c>
      <c r="H14" s="158" t="e">
        <f t="shared" si="2"/>
        <v>#REF!</v>
      </c>
      <c r="I14" s="159">
        <f>'ПРОВЕРКА прогр-непрогр'!C12</f>
        <v>18375.850000000002</v>
      </c>
      <c r="J14" s="159" t="e">
        <f t="shared" si="4"/>
        <v>#REF!</v>
      </c>
      <c r="K14" s="159" t="e">
        <f>'МП и неМП'!#REF!+'МП и неМП'!#REF!</f>
        <v>#REF!</v>
      </c>
      <c r="L14" s="165">
        <f>'ПРОВЕРКА прогр-непрогр'!C12</f>
        <v>18375.850000000002</v>
      </c>
      <c r="M14" s="165">
        <f t="shared" si="3"/>
        <v>0</v>
      </c>
    </row>
    <row r="15" spans="1:13" ht="31.5">
      <c r="A15" s="100" t="s">
        <v>104</v>
      </c>
      <c r="B15" s="127" t="s">
        <v>656</v>
      </c>
      <c r="C15" s="157">
        <v>744705.83000000007</v>
      </c>
      <c r="D15" s="157">
        <v>675253.14000000013</v>
      </c>
      <c r="E15" s="157">
        <v>69452.69</v>
      </c>
      <c r="F15" s="158" t="e">
        <f t="shared" si="0"/>
        <v>#REF!</v>
      </c>
      <c r="G15" s="158" t="e">
        <f t="shared" si="1"/>
        <v>#REF!</v>
      </c>
      <c r="H15" s="158" t="e">
        <f t="shared" si="2"/>
        <v>#REF!</v>
      </c>
      <c r="I15" s="159">
        <f>'ПРОВЕРКА прогр-непрогр'!C13</f>
        <v>607707.79</v>
      </c>
      <c r="J15" s="159" t="e">
        <f t="shared" si="4"/>
        <v>#REF!</v>
      </c>
      <c r="K15" s="159" t="e">
        <f>'МП и неМП'!#REF!+'МП и неМП'!#REF!+'МП и неМП'!#REF!+'МП и неМП'!#REF!+'МП и неМП'!#REF!</f>
        <v>#REF!</v>
      </c>
      <c r="L15" s="165">
        <f>'ПРОВЕРКА прогр-непрогр'!C13</f>
        <v>607707.79</v>
      </c>
      <c r="M15" s="165">
        <f t="shared" si="3"/>
        <v>0</v>
      </c>
    </row>
    <row r="16" spans="1:13" ht="47.25">
      <c r="A16" s="375" t="s">
        <v>82</v>
      </c>
      <c r="B16" s="127" t="s">
        <v>657</v>
      </c>
      <c r="C16" s="157">
        <v>244768.27000000002</v>
      </c>
      <c r="D16" s="157">
        <v>244768.27000000002</v>
      </c>
      <c r="E16" s="157">
        <v>0</v>
      </c>
      <c r="F16" s="158">
        <f t="shared" si="0"/>
        <v>24221.569999999949</v>
      </c>
      <c r="G16" s="158">
        <f t="shared" si="1"/>
        <v>24221.569999999949</v>
      </c>
      <c r="H16" s="158">
        <f t="shared" si="2"/>
        <v>0</v>
      </c>
      <c r="I16" s="159">
        <f>'ПРОВЕРКА прогр-непрогр'!C14</f>
        <v>268989.83999999997</v>
      </c>
      <c r="J16" s="159">
        <f t="shared" si="4"/>
        <v>268989.83999999997</v>
      </c>
      <c r="K16" s="159">
        <v>0</v>
      </c>
      <c r="L16" s="165">
        <f>'ПРОВЕРКА прогр-непрогр'!C14</f>
        <v>268989.83999999997</v>
      </c>
      <c r="M16" s="165">
        <f t="shared" si="3"/>
        <v>0</v>
      </c>
    </row>
    <row r="17" spans="1:13" s="116" customFormat="1" ht="31.5">
      <c r="A17" s="100" t="s">
        <v>33</v>
      </c>
      <c r="B17" s="127" t="s">
        <v>658</v>
      </c>
      <c r="C17" s="157">
        <v>13088.239999999998</v>
      </c>
      <c r="D17" s="157">
        <v>13088.239999999998</v>
      </c>
      <c r="E17" s="157">
        <v>0</v>
      </c>
      <c r="F17" s="158">
        <f t="shared" si="0"/>
        <v>2840.3700000000026</v>
      </c>
      <c r="G17" s="158">
        <f t="shared" si="1"/>
        <v>2840.3700000000026</v>
      </c>
      <c r="H17" s="158">
        <f t="shared" si="2"/>
        <v>0</v>
      </c>
      <c r="I17" s="159">
        <f>'ПРОВЕРКА прогр-непрогр'!C15</f>
        <v>15928.61</v>
      </c>
      <c r="J17" s="159">
        <f t="shared" si="4"/>
        <v>15928.61</v>
      </c>
      <c r="K17" s="159">
        <v>0</v>
      </c>
      <c r="L17" s="165">
        <f>'ПРОВЕРКА прогр-непрогр'!C15</f>
        <v>15928.61</v>
      </c>
      <c r="M17" s="165">
        <f t="shared" si="3"/>
        <v>0</v>
      </c>
    </row>
    <row r="18" spans="1:13" s="116" customFormat="1" ht="47.25">
      <c r="A18" s="100" t="s">
        <v>13</v>
      </c>
      <c r="B18" s="127" t="s">
        <v>660</v>
      </c>
      <c r="C18" s="157">
        <v>128368.82999999999</v>
      </c>
      <c r="D18" s="157">
        <v>128368.82999999999</v>
      </c>
      <c r="E18" s="157">
        <v>0</v>
      </c>
      <c r="F18" s="158">
        <f t="shared" si="0"/>
        <v>126431.17000000001</v>
      </c>
      <c r="G18" s="158">
        <f t="shared" si="1"/>
        <v>126431.17000000001</v>
      </c>
      <c r="H18" s="158">
        <f t="shared" si="2"/>
        <v>0</v>
      </c>
      <c r="I18" s="159">
        <f>'ПРОВЕРКА прогр-непрогр'!C16</f>
        <v>254800</v>
      </c>
      <c r="J18" s="159">
        <f t="shared" si="4"/>
        <v>254800</v>
      </c>
      <c r="K18" s="159">
        <v>0</v>
      </c>
      <c r="L18" s="165">
        <f>'ПРОВЕРКА прогр-непрогр'!C16</f>
        <v>254800</v>
      </c>
      <c r="M18" s="165">
        <f t="shared" si="3"/>
        <v>0</v>
      </c>
    </row>
    <row r="19" spans="1:13" ht="78.75">
      <c r="A19" s="375" t="s">
        <v>112</v>
      </c>
      <c r="B19" s="127" t="s">
        <v>662</v>
      </c>
      <c r="C19" s="157">
        <v>35676.929999999993</v>
      </c>
      <c r="D19" s="157">
        <v>35676.929999999993</v>
      </c>
      <c r="E19" s="157">
        <v>0</v>
      </c>
      <c r="F19" s="158">
        <f t="shared" si="0"/>
        <v>-12281.239999999994</v>
      </c>
      <c r="G19" s="158">
        <f t="shared" si="1"/>
        <v>-12281.239999999994</v>
      </c>
      <c r="H19" s="158">
        <f t="shared" si="2"/>
        <v>0</v>
      </c>
      <c r="I19" s="159">
        <f>'ПРОВЕРКА прогр-непрогр'!C17</f>
        <v>23395.69</v>
      </c>
      <c r="J19" s="159">
        <f t="shared" si="4"/>
        <v>23395.69</v>
      </c>
      <c r="K19" s="159">
        <v>0</v>
      </c>
      <c r="L19" s="165">
        <f>'ПРОВЕРКА прогр-непрогр'!C17</f>
        <v>23395.69</v>
      </c>
      <c r="M19" s="165">
        <f t="shared" si="3"/>
        <v>0</v>
      </c>
    </row>
    <row r="20" spans="1:13" ht="31.5">
      <c r="A20" s="100" t="s">
        <v>72</v>
      </c>
      <c r="B20" s="127" t="s">
        <v>664</v>
      </c>
      <c r="C20" s="157">
        <v>126330.49</v>
      </c>
      <c r="D20" s="157">
        <v>126330.49</v>
      </c>
      <c r="E20" s="157">
        <v>0</v>
      </c>
      <c r="F20" s="158">
        <f t="shared" si="0"/>
        <v>-2507.320000000007</v>
      </c>
      <c r="G20" s="158">
        <f t="shared" si="1"/>
        <v>-2507.320000000007</v>
      </c>
      <c r="H20" s="158">
        <f t="shared" si="2"/>
        <v>0</v>
      </c>
      <c r="I20" s="159">
        <f>'ПРОВЕРКА прогр-непрогр'!C18</f>
        <v>123823.17</v>
      </c>
      <c r="J20" s="159">
        <f t="shared" si="4"/>
        <v>123823.17</v>
      </c>
      <c r="K20" s="159">
        <v>0</v>
      </c>
      <c r="L20" s="165">
        <f>'ПРОВЕРКА прогр-непрогр'!C18</f>
        <v>123823.17</v>
      </c>
      <c r="M20" s="165">
        <f t="shared" si="3"/>
        <v>0</v>
      </c>
    </row>
    <row r="21" spans="1:13" s="116" customFormat="1" ht="47.25">
      <c r="A21" s="100" t="s">
        <v>124</v>
      </c>
      <c r="B21" s="127" t="s">
        <v>665</v>
      </c>
      <c r="C21" s="157">
        <v>173.54</v>
      </c>
      <c r="D21" s="157">
        <v>173.54</v>
      </c>
      <c r="E21" s="157">
        <v>0</v>
      </c>
      <c r="F21" s="158">
        <f t="shared" si="0"/>
        <v>86.460000000000008</v>
      </c>
      <c r="G21" s="158">
        <f t="shared" si="1"/>
        <v>86.460000000000008</v>
      </c>
      <c r="H21" s="158">
        <f t="shared" si="2"/>
        <v>0</v>
      </c>
      <c r="I21" s="159">
        <f>'ПРОВЕРКА прогр-непрогр'!C19</f>
        <v>260</v>
      </c>
      <c r="J21" s="159">
        <f t="shared" si="4"/>
        <v>260</v>
      </c>
      <c r="K21" s="159">
        <v>0</v>
      </c>
      <c r="L21" s="165">
        <f>'ПРОВЕРКА прогр-непрогр'!C19</f>
        <v>260</v>
      </c>
      <c r="M21" s="165">
        <f t="shared" si="3"/>
        <v>0</v>
      </c>
    </row>
    <row r="22" spans="1:13" s="116" customFormat="1" ht="78.75">
      <c r="A22" s="100" t="s">
        <v>618</v>
      </c>
      <c r="B22" s="127" t="s">
        <v>666</v>
      </c>
      <c r="C22" s="157">
        <v>57333.409999999996</v>
      </c>
      <c r="D22" s="157">
        <v>57333.409999999996</v>
      </c>
      <c r="E22" s="157">
        <v>0</v>
      </c>
      <c r="F22" s="158">
        <f t="shared" si="0"/>
        <v>-1404.4199999999983</v>
      </c>
      <c r="G22" s="158">
        <f t="shared" si="1"/>
        <v>-1404.4199999999983</v>
      </c>
      <c r="H22" s="158">
        <f t="shared" si="2"/>
        <v>0</v>
      </c>
      <c r="I22" s="159">
        <f>'ПРОВЕРКА прогр-непрогр'!C20</f>
        <v>55928.99</v>
      </c>
      <c r="J22" s="159">
        <f t="shared" si="4"/>
        <v>55928.99</v>
      </c>
      <c r="K22" s="159">
        <v>0</v>
      </c>
      <c r="L22" s="165">
        <f>'ПРОВЕРКА прогр-непрогр'!C20</f>
        <v>55928.99</v>
      </c>
      <c r="M22" s="165">
        <f t="shared" si="3"/>
        <v>0</v>
      </c>
    </row>
    <row r="23" spans="1:13" ht="63">
      <c r="A23" s="375" t="s">
        <v>619</v>
      </c>
      <c r="B23" s="127" t="s">
        <v>667</v>
      </c>
      <c r="C23" s="157">
        <v>160705.96000000002</v>
      </c>
      <c r="D23" s="157">
        <v>160605.96000000002</v>
      </c>
      <c r="E23" s="157">
        <v>100</v>
      </c>
      <c r="F23" s="158" t="e">
        <f t="shared" si="0"/>
        <v>#REF!</v>
      </c>
      <c r="G23" s="158" t="e">
        <f t="shared" si="1"/>
        <v>#REF!</v>
      </c>
      <c r="H23" s="158" t="e">
        <f t="shared" si="2"/>
        <v>#REF!</v>
      </c>
      <c r="I23" s="159">
        <f>'ПРОВЕРКА прогр-непрогр'!C21</f>
        <v>168464.35</v>
      </c>
      <c r="J23" s="159" t="e">
        <f t="shared" si="4"/>
        <v>#REF!</v>
      </c>
      <c r="K23" s="159" t="e">
        <f>'МП и неМП'!#REF!</f>
        <v>#REF!</v>
      </c>
      <c r="L23" s="165">
        <f>'ПРОВЕРКА прогр-непрогр'!C21</f>
        <v>168464.35</v>
      </c>
      <c r="M23" s="165">
        <f t="shared" si="3"/>
        <v>0</v>
      </c>
    </row>
    <row r="24" spans="1:13" s="116" customFormat="1" ht="110.25">
      <c r="A24" s="375" t="s">
        <v>620</v>
      </c>
      <c r="B24" s="127" t="s">
        <v>670</v>
      </c>
      <c r="C24" s="157">
        <v>140857.94999999998</v>
      </c>
      <c r="D24" s="157">
        <v>140857.94999999998</v>
      </c>
      <c r="E24" s="157">
        <v>0</v>
      </c>
      <c r="F24" s="158">
        <f t="shared" si="0"/>
        <v>13249.190000000031</v>
      </c>
      <c r="G24" s="158">
        <f t="shared" si="1"/>
        <v>13249.190000000031</v>
      </c>
      <c r="H24" s="158">
        <f t="shared" si="2"/>
        <v>0</v>
      </c>
      <c r="I24" s="159">
        <f>'ПРОВЕРКА прогр-непрогр'!C22</f>
        <v>154107.14000000001</v>
      </c>
      <c r="J24" s="159">
        <f t="shared" si="4"/>
        <v>154107.14000000001</v>
      </c>
      <c r="K24" s="159">
        <v>0</v>
      </c>
      <c r="L24" s="165">
        <f>'ПРОВЕРКА прогр-непрогр'!C22</f>
        <v>154107.14000000001</v>
      </c>
      <c r="M24" s="165">
        <f t="shared" si="3"/>
        <v>0</v>
      </c>
    </row>
    <row r="25" spans="1:13" s="116" customFormat="1" ht="47.25">
      <c r="A25" s="375" t="s">
        <v>621</v>
      </c>
      <c r="B25" s="127" t="s">
        <v>671</v>
      </c>
      <c r="C25" s="157">
        <v>5973.82</v>
      </c>
      <c r="D25" s="157">
        <v>5973.82</v>
      </c>
      <c r="E25" s="157">
        <v>0</v>
      </c>
      <c r="F25" s="158">
        <f t="shared" si="0"/>
        <v>3385.5200000000004</v>
      </c>
      <c r="G25" s="158">
        <f t="shared" si="1"/>
        <v>3385.5200000000004</v>
      </c>
      <c r="H25" s="158">
        <f t="shared" si="2"/>
        <v>0</v>
      </c>
      <c r="I25" s="159">
        <f>'ПРОВЕРКА прогр-непрогр'!C23</f>
        <v>9359.34</v>
      </c>
      <c r="J25" s="159">
        <f t="shared" si="4"/>
        <v>9359.34</v>
      </c>
      <c r="K25" s="159">
        <v>0</v>
      </c>
      <c r="L25" s="165">
        <f>'ПРОВЕРКА прогр-непрогр'!C23</f>
        <v>9359.34</v>
      </c>
      <c r="M25" s="165">
        <f t="shared" si="3"/>
        <v>0</v>
      </c>
    </row>
    <row r="26" spans="1:13" ht="31.5">
      <c r="A26" s="100" t="s">
        <v>622</v>
      </c>
      <c r="B26" s="127" t="s">
        <v>673</v>
      </c>
      <c r="C26" s="157">
        <v>2944</v>
      </c>
      <c r="D26" s="157">
        <v>2944</v>
      </c>
      <c r="E26" s="157">
        <v>0</v>
      </c>
      <c r="F26" s="158">
        <f t="shared" si="0"/>
        <v>0</v>
      </c>
      <c r="G26" s="158">
        <f t="shared" si="1"/>
        <v>0</v>
      </c>
      <c r="H26" s="158">
        <f t="shared" si="2"/>
        <v>0</v>
      </c>
      <c r="I26" s="159">
        <f>'ПРОВЕРКА прогр-непрогр'!C24</f>
        <v>2944</v>
      </c>
      <c r="J26" s="159">
        <f t="shared" si="4"/>
        <v>2944</v>
      </c>
      <c r="K26" s="159">
        <v>0</v>
      </c>
      <c r="L26" s="165">
        <f>'ПРОВЕРКА прогр-непрогр'!C24</f>
        <v>2944</v>
      </c>
      <c r="M26" s="165">
        <f t="shared" si="3"/>
        <v>0</v>
      </c>
    </row>
    <row r="27" spans="1:13" ht="47.25">
      <c r="A27" s="100" t="s">
        <v>798</v>
      </c>
      <c r="B27" s="127" t="s">
        <v>794</v>
      </c>
      <c r="C27" s="157">
        <v>475343.38</v>
      </c>
      <c r="D27" s="157">
        <v>71054.510000000009</v>
      </c>
      <c r="E27" s="157">
        <v>404288.87</v>
      </c>
      <c r="F27" s="158" t="e">
        <f t="shared" si="0"/>
        <v>#REF!</v>
      </c>
      <c r="G27" s="158" t="e">
        <f t="shared" si="1"/>
        <v>#REF!</v>
      </c>
      <c r="H27" s="158" t="e">
        <f t="shared" si="2"/>
        <v>#REF!</v>
      </c>
      <c r="I27" s="159">
        <f>'ПРОВЕРКА прогр-непрогр'!C25</f>
        <v>196756.9</v>
      </c>
      <c r="J27" s="159" t="e">
        <f t="shared" si="4"/>
        <v>#REF!</v>
      </c>
      <c r="K27" s="159" t="e">
        <f>'МП и неМП'!#REF!</f>
        <v>#REF!</v>
      </c>
      <c r="L27" s="165">
        <f>'ПРОВЕРКА прогр-непрогр'!C25</f>
        <v>196756.9</v>
      </c>
      <c r="M27" s="165">
        <f t="shared" si="3"/>
        <v>0</v>
      </c>
    </row>
    <row r="28" spans="1:13" s="133" customFormat="1" ht="18.75">
      <c r="A28" s="376"/>
      <c r="B28" s="128" t="s">
        <v>222</v>
      </c>
      <c r="C28" s="320">
        <v>16976217.519999996</v>
      </c>
      <c r="D28" s="320">
        <v>5617204.5899999989</v>
      </c>
      <c r="E28" s="320">
        <v>11359012.93</v>
      </c>
      <c r="F28" s="321" t="e">
        <f>F9+F10+F11+F12+F13+F14+F15+F16+F17+F18+F19+F20+F21+F22+F23+F24+F25+F26+F27</f>
        <v>#REF!</v>
      </c>
      <c r="G28" s="321" t="e">
        <f>G9+G10+G11+G12+G13+G14+G15+G16+G17+G18+G19+G20+G21+G22+G23+G24+G25+G26+G27</f>
        <v>#REF!</v>
      </c>
      <c r="H28" s="321" t="e">
        <f>H9+H10+H11+H12+H13+H14+H15+H16+H17+H18+H19+H20+H21+H22+H23+H24+H25+H26+H27</f>
        <v>#REF!</v>
      </c>
      <c r="I28" s="322">
        <f>SUM(I9:I27)</f>
        <v>15302575.799999999</v>
      </c>
      <c r="J28" s="322" t="e">
        <f>SUM(J9:J27)</f>
        <v>#REF!</v>
      </c>
      <c r="K28" s="322" t="e">
        <f>SUM(K9:K27)</f>
        <v>#REF!</v>
      </c>
      <c r="L28" s="323">
        <f>'ПРОВЕРКА прогр-непрогр'!C26</f>
        <v>15302575.799999999</v>
      </c>
      <c r="M28" s="323">
        <f t="shared" si="3"/>
        <v>0</v>
      </c>
    </row>
    <row r="29" spans="1:13">
      <c r="K29" s="164"/>
    </row>
    <row r="30" spans="1:13">
      <c r="K30" s="164"/>
    </row>
    <row r="31" spans="1:13" ht="18.75">
      <c r="A31" s="152"/>
      <c r="B31" s="129" t="s">
        <v>587</v>
      </c>
      <c r="C31" s="159" t="e">
        <f>'ПРОВЕРКА прогр-непрогр'!#REF!</f>
        <v>#REF!</v>
      </c>
      <c r="D31" s="159"/>
      <c r="E31" s="159"/>
      <c r="F31" s="132">
        <f>'ПРОВЕРКА прогр-непрогр'!D26</f>
        <v>13336277.73</v>
      </c>
      <c r="G31" s="132"/>
      <c r="H31" s="132"/>
      <c r="I31" s="132">
        <f>'ПРОВЕРКА прогр-непрогр'!C26</f>
        <v>15302575.799999999</v>
      </c>
      <c r="J31" s="132"/>
      <c r="K31" s="132"/>
    </row>
    <row r="32" spans="1:13" ht="18.75">
      <c r="A32" s="152"/>
      <c r="B32" s="129" t="s">
        <v>603</v>
      </c>
      <c r="C32" s="132">
        <v>0</v>
      </c>
      <c r="D32" s="132"/>
      <c r="E32" s="132"/>
      <c r="F32" s="132" t="e">
        <f>F28-F31</f>
        <v>#REF!</v>
      </c>
      <c r="G32" s="132"/>
      <c r="H32" s="132"/>
      <c r="I32" s="132">
        <f>I28-I31</f>
        <v>0</v>
      </c>
      <c r="J32" s="132"/>
      <c r="K32" s="132"/>
    </row>
    <row r="33" spans="1:19" ht="18.75">
      <c r="A33" s="152"/>
      <c r="B33" s="129"/>
      <c r="C33" s="458"/>
      <c r="D33" s="458"/>
      <c r="E33" s="458"/>
      <c r="F33" s="458"/>
      <c r="G33" s="458"/>
      <c r="H33" s="458"/>
      <c r="I33" s="458"/>
      <c r="J33" s="458"/>
      <c r="K33" s="458"/>
    </row>
    <row r="34" spans="1:19" ht="18.75">
      <c r="A34" s="152"/>
      <c r="B34" s="129" t="s">
        <v>598</v>
      </c>
      <c r="C34" s="132">
        <f>C28+'прил. 3 по неМП 2022'!C27</f>
        <v>18355583.849999994</v>
      </c>
      <c r="D34" s="132">
        <f>D28+'прил. 3 по неМП 2022'!D27</f>
        <v>6892183.1899999985</v>
      </c>
      <c r="E34" s="132">
        <f>E28+'прил. 3 по неМП 2022'!E27</f>
        <v>11463400.66</v>
      </c>
      <c r="F34" s="132">
        <f>'ПРОВЕРКА прогр-непрогр'!G27</f>
        <v>1303.8799999999974</v>
      </c>
      <c r="G34" s="132"/>
      <c r="H34" s="132"/>
      <c r="I34" s="132" t="e">
        <f>I28+'прил. 3 по неМП 2022'!I27</f>
        <v>#REF!</v>
      </c>
      <c r="J34" s="132" t="e">
        <f>J28+'прил. 3 по неМП 2022'!J27</f>
        <v>#REF!</v>
      </c>
      <c r="K34" s="132" t="e">
        <f>K28+'прил. 3 по неМП 2022'!K27</f>
        <v>#REF!</v>
      </c>
    </row>
    <row r="35" spans="1:19" ht="18.75">
      <c r="A35" s="152"/>
      <c r="B35" s="129" t="s">
        <v>1117</v>
      </c>
      <c r="C35" s="132"/>
      <c r="D35" s="132"/>
      <c r="E35" s="132"/>
      <c r="F35" s="132">
        <f>F29-F34</f>
        <v>-1303.8799999999974</v>
      </c>
      <c r="G35" s="132"/>
      <c r="H35" s="132"/>
      <c r="I35" s="132" t="e">
        <f>#REF!</f>
        <v>#REF!</v>
      </c>
      <c r="J35" s="132" t="e">
        <f>#REF!</f>
        <v>#REF!</v>
      </c>
      <c r="K35" s="132" t="e">
        <f>#REF!</f>
        <v>#REF!</v>
      </c>
    </row>
    <row r="36" spans="1:19">
      <c r="A36" s="152"/>
      <c r="B36" s="130" t="s">
        <v>603</v>
      </c>
      <c r="I36" s="164" t="e">
        <f>I34-I35</f>
        <v>#REF!</v>
      </c>
      <c r="J36" s="164" t="e">
        <f>J34-J35</f>
        <v>#REF!</v>
      </c>
      <c r="K36" s="164" t="e">
        <f>K34-K35</f>
        <v>#REF!</v>
      </c>
    </row>
    <row r="37" spans="1:19">
      <c r="C37" s="164"/>
      <c r="D37" s="164"/>
      <c r="E37" s="164"/>
      <c r="I37" s="164"/>
      <c r="J37" s="164"/>
      <c r="K37" s="164"/>
    </row>
    <row r="38" spans="1:19">
      <c r="D38" s="164"/>
      <c r="I38" s="164"/>
      <c r="J38" s="164"/>
    </row>
    <row r="39" spans="1:19">
      <c r="I39" s="122"/>
      <c r="J39" s="398"/>
      <c r="K39" s="122"/>
    </row>
    <row r="40" spans="1:19" ht="72">
      <c r="C40" s="221"/>
      <c r="D40" s="221"/>
      <c r="E40" s="221"/>
      <c r="F40" s="218"/>
      <c r="G40" s="218"/>
      <c r="H40" s="218"/>
      <c r="I40" s="219"/>
      <c r="J40" s="219"/>
      <c r="K40" s="219"/>
      <c r="L40" s="164"/>
      <c r="M40" s="164"/>
      <c r="N40" s="164"/>
      <c r="O40" s="161" t="s">
        <v>630</v>
      </c>
      <c r="P40" s="161" t="s">
        <v>631</v>
      </c>
      <c r="Q40" s="130"/>
      <c r="R40" s="170" t="s">
        <v>583</v>
      </c>
      <c r="S40" s="161" t="s">
        <v>632</v>
      </c>
    </row>
    <row r="41" spans="1:19">
      <c r="C41" s="207" t="e">
        <f>D41+E41+#REF!</f>
        <v>#REF!</v>
      </c>
      <c r="D41" s="207">
        <f>D28+'прил. 3 по неМП 2022'!D27</f>
        <v>6892183.1899999985</v>
      </c>
      <c r="E41" s="207">
        <f>E28+'прил. 3 по неМП 2022'!E27</f>
        <v>11463400.66</v>
      </c>
      <c r="F41" s="207" t="e">
        <f>F28+'прил. 3 по неМП 2022'!F27</f>
        <v>#REF!</v>
      </c>
      <c r="G41" s="207" t="e">
        <f>G28+'прил. 3 по неМП 2022'!G27</f>
        <v>#REF!</v>
      </c>
      <c r="H41" s="207" t="e">
        <f>H28+'прил. 3 по неМП 2022'!H27</f>
        <v>#REF!</v>
      </c>
      <c r="I41" s="207" t="e">
        <f>I28+'прил. 3 по неМП 2022'!I27</f>
        <v>#REF!</v>
      </c>
      <c r="J41" s="207" t="e">
        <f>J28+'прил. 3 по неМП 2022'!J27</f>
        <v>#REF!</v>
      </c>
      <c r="K41" s="207" t="e">
        <f>K28+'прил. 3 по неМП 2022'!K27</f>
        <v>#REF!</v>
      </c>
      <c r="L41" s="165"/>
      <c r="M41" s="165"/>
      <c r="N41" s="165"/>
      <c r="O41" s="2"/>
    </row>
    <row r="42" spans="1:19">
      <c r="C42" s="207" t="e">
        <f>C41-'ПРОВЕРКА прогр-непрогр'!#REF!</f>
        <v>#REF!</v>
      </c>
      <c r="D42" s="207" t="e">
        <f>D41-#REF!</f>
        <v>#REF!</v>
      </c>
      <c r="E42" s="207" t="e">
        <f>E41-#REF!</f>
        <v>#REF!</v>
      </c>
      <c r="F42" s="207" t="e">
        <f>F41-#REF!</f>
        <v>#REF!</v>
      </c>
      <c r="G42" s="207" t="e">
        <f>G41-#REF!</f>
        <v>#REF!</v>
      </c>
      <c r="H42" s="207"/>
      <c r="I42" s="207" t="e">
        <f>I41-#REF!</f>
        <v>#REF!</v>
      </c>
      <c r="J42" s="207"/>
      <c r="K42" s="207" t="e">
        <f>K41-#REF!</f>
        <v>#REF!</v>
      </c>
      <c r="L42" s="165"/>
    </row>
    <row r="43" spans="1:19">
      <c r="C43" s="207"/>
      <c r="D43" s="207"/>
      <c r="E43" s="207"/>
      <c r="F43" s="207"/>
      <c r="G43" s="207"/>
      <c r="H43" s="207"/>
      <c r="I43" s="207"/>
      <c r="J43" s="207"/>
      <c r="K43" s="207"/>
      <c r="L43" s="165"/>
    </row>
    <row r="44" spans="1:19">
      <c r="C44" s="207"/>
      <c r="D44" s="207"/>
      <c r="E44" s="207"/>
      <c r="F44" s="207"/>
      <c r="G44" s="207"/>
      <c r="H44" s="207"/>
      <c r="I44" s="207"/>
      <c r="J44" s="207"/>
      <c r="K44" s="207"/>
      <c r="L44" s="165"/>
    </row>
    <row r="45" spans="1:19">
      <c r="F45" s="313"/>
      <c r="G45" s="313"/>
      <c r="H45" s="313"/>
      <c r="I45" s="313" t="e">
        <f>#REF!</f>
        <v>#REF!</v>
      </c>
      <c r="J45" s="313" t="e">
        <f>#REF!</f>
        <v>#REF!</v>
      </c>
      <c r="K45" s="313" t="e">
        <f>#REF!</f>
        <v>#REF!</v>
      </c>
      <c r="L45" s="165"/>
    </row>
    <row r="46" spans="1:19">
      <c r="F46" s="313"/>
      <c r="G46" s="313"/>
      <c r="H46" s="313"/>
      <c r="I46" s="313" t="e">
        <f>I41-I45</f>
        <v>#REF!</v>
      </c>
      <c r="J46" s="313" t="e">
        <f>J41-J45</f>
        <v>#REF!</v>
      </c>
      <c r="K46" s="313" t="e">
        <f>K41-K45</f>
        <v>#REF!</v>
      </c>
      <c r="L46" s="165"/>
    </row>
    <row r="47" spans="1:19">
      <c r="F47" s="313"/>
      <c r="G47" s="313"/>
      <c r="H47" s="313"/>
      <c r="I47" s="313"/>
      <c r="J47" s="313"/>
      <c r="K47" s="313"/>
      <c r="L47" s="165"/>
    </row>
    <row r="48" spans="1:19">
      <c r="F48" s="313"/>
      <c r="G48" s="313"/>
      <c r="H48" s="313"/>
      <c r="I48" s="313"/>
      <c r="J48" s="313"/>
      <c r="K48" s="313"/>
      <c r="L48" s="165"/>
    </row>
    <row r="49" spans="2:12">
      <c r="C49" s="221" t="s">
        <v>825</v>
      </c>
      <c r="D49" s="221" t="s">
        <v>777</v>
      </c>
      <c r="E49" s="221" t="s">
        <v>778</v>
      </c>
      <c r="F49" s="218" t="s">
        <v>780</v>
      </c>
      <c r="G49" s="218" t="s">
        <v>777</v>
      </c>
      <c r="H49" s="218" t="s">
        <v>778</v>
      </c>
      <c r="I49" s="219" t="s">
        <v>779</v>
      </c>
      <c r="J49" s="219" t="s">
        <v>777</v>
      </c>
      <c r="K49" s="219" t="s">
        <v>778</v>
      </c>
      <c r="L49" s="165"/>
    </row>
    <row r="50" spans="2:12">
      <c r="B50" s="161" t="s">
        <v>584</v>
      </c>
      <c r="C50" s="164"/>
      <c r="D50" s="164"/>
      <c r="E50" s="164"/>
      <c r="G50" s="164"/>
      <c r="H50" s="164"/>
      <c r="I50" s="164"/>
      <c r="J50" s="164"/>
      <c r="K50" s="164"/>
    </row>
    <row r="52" spans="2:12">
      <c r="F52" s="313"/>
      <c r="G52" s="313"/>
      <c r="H52" s="313"/>
      <c r="I52" s="313">
        <f>J52+K52</f>
        <v>0</v>
      </c>
      <c r="J52" s="313">
        <f>D50+G50</f>
        <v>0</v>
      </c>
      <c r="K52" s="313">
        <f>E50+H50</f>
        <v>0</v>
      </c>
    </row>
    <row r="53" spans="2:12">
      <c r="F53" s="313">
        <f t="shared" ref="F53:K53" si="5">F50-F52</f>
        <v>0</v>
      </c>
      <c r="G53" s="313">
        <f t="shared" si="5"/>
        <v>0</v>
      </c>
      <c r="H53" s="313">
        <f t="shared" si="5"/>
        <v>0</v>
      </c>
      <c r="I53" s="313">
        <f t="shared" si="5"/>
        <v>0</v>
      </c>
      <c r="J53" s="313">
        <f t="shared" si="5"/>
        <v>0</v>
      </c>
      <c r="K53" s="313">
        <f t="shared" si="5"/>
        <v>0</v>
      </c>
    </row>
  </sheetData>
  <mergeCells count="9">
    <mergeCell ref="A8:B8"/>
    <mergeCell ref="A6:A7"/>
    <mergeCell ref="B6:B7"/>
    <mergeCell ref="C6:C7"/>
    <mergeCell ref="B4:K4"/>
    <mergeCell ref="I6:I7"/>
    <mergeCell ref="D6:E6"/>
    <mergeCell ref="J6:K6"/>
    <mergeCell ref="F6:H6"/>
  </mergeCells>
  <pageMargins left="0.39370078740157483" right="0.15748031496062992" top="0.23622047244094491" bottom="0.27559055118110237" header="0.23622047244094491" footer="0.19685039370078741"/>
  <pageSetup paperSize="9" scale="48" orientation="portrait" horizontalDpi="1200" verticalDpi="1200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rgb="FFCCFFCC"/>
    <pageSetUpPr fitToPage="1"/>
  </sheetPr>
  <dimension ref="A1:S46"/>
  <sheetViews>
    <sheetView view="pageBreakPreview" zoomScale="68" zoomScaleSheetLayoutView="68" workbookViewId="0">
      <pane xSplit="2" ySplit="8" topLeftCell="C9" activePane="bottomRight" state="frozen"/>
      <selection activeCell="C10" sqref="C10:E29"/>
      <selection pane="topRight" activeCell="C10" sqref="C10:E29"/>
      <selection pane="bottomLeft" activeCell="C10" sqref="C10:E29"/>
      <selection pane="bottomRight" activeCell="C9" sqref="C9:E28"/>
    </sheetView>
  </sheetViews>
  <sheetFormatPr defaultRowHeight="18"/>
  <cols>
    <col min="1" max="1" width="5.7265625" style="150" customWidth="1"/>
    <col min="2" max="2" width="38" style="130" customWidth="1"/>
    <col min="3" max="3" width="15.08984375" style="161" customWidth="1"/>
    <col min="4" max="4" width="11.7265625" style="161" customWidth="1"/>
    <col min="5" max="5" width="11.90625" style="161" customWidth="1"/>
    <col min="6" max="6" width="10.54296875" style="161" customWidth="1"/>
    <col min="7" max="7" width="12.26953125" style="161" customWidth="1"/>
    <col min="8" max="8" width="11.7265625" style="161" customWidth="1"/>
    <col min="9" max="9" width="12.26953125" style="161" customWidth="1"/>
    <col min="10" max="10" width="12" style="161" customWidth="1"/>
    <col min="11" max="11" width="12.90625" style="161" customWidth="1"/>
    <col min="12" max="13" width="11.7265625" style="130" bestFit="1" customWidth="1"/>
    <col min="14" max="14" width="11.7265625" bestFit="1" customWidth="1"/>
  </cols>
  <sheetData>
    <row r="1" spans="1:13">
      <c r="A1" s="149"/>
      <c r="B1" s="125"/>
      <c r="C1" s="160"/>
      <c r="D1" s="160"/>
      <c r="E1" s="160"/>
      <c r="F1" s="160"/>
      <c r="G1" s="160"/>
      <c r="H1" s="160"/>
      <c r="I1" s="160"/>
      <c r="J1" s="160"/>
      <c r="K1" s="153" t="s">
        <v>592</v>
      </c>
    </row>
    <row r="2" spans="1:13">
      <c r="A2" s="149"/>
      <c r="B2" s="125"/>
      <c r="C2" s="160"/>
      <c r="D2" s="160"/>
      <c r="E2" s="160"/>
      <c r="F2" s="160"/>
      <c r="G2" s="160"/>
      <c r="H2" s="160"/>
      <c r="I2" s="160"/>
      <c r="J2" s="160"/>
      <c r="K2" s="153" t="s">
        <v>593</v>
      </c>
    </row>
    <row r="3" spans="1:13">
      <c r="A3" s="149"/>
      <c r="B3" s="125"/>
      <c r="C3" s="160"/>
      <c r="D3" s="160"/>
      <c r="E3" s="160"/>
      <c r="F3" s="160"/>
      <c r="G3" s="160"/>
      <c r="H3" s="160"/>
      <c r="I3" s="160"/>
      <c r="J3" s="160"/>
      <c r="K3" s="153"/>
    </row>
    <row r="4" spans="1:13" ht="18.75">
      <c r="B4" s="540" t="s">
        <v>1007</v>
      </c>
      <c r="C4" s="540"/>
      <c r="D4" s="540"/>
      <c r="E4" s="540"/>
      <c r="F4" s="540"/>
      <c r="G4" s="540"/>
      <c r="H4" s="540"/>
      <c r="I4" s="540"/>
      <c r="J4" s="540"/>
      <c r="K4" s="540"/>
    </row>
    <row r="5" spans="1:13" ht="18.75">
      <c r="A5" s="151"/>
      <c r="B5" s="126"/>
      <c r="C5" s="131"/>
      <c r="D5" s="131"/>
      <c r="E5" s="131"/>
      <c r="F5" s="131"/>
      <c r="G5" s="131"/>
      <c r="H5" s="131"/>
      <c r="I5" s="131"/>
      <c r="J5" s="131"/>
    </row>
    <row r="6" spans="1:13">
      <c r="A6" s="215" t="s">
        <v>617</v>
      </c>
      <c r="B6" s="546" t="s">
        <v>22</v>
      </c>
      <c r="C6" s="548" t="e">
        <f>'ПРОВЕРКА прогр-непрогр'!#REF!</f>
        <v>#REF!</v>
      </c>
      <c r="D6" s="551" t="s">
        <v>595</v>
      </c>
      <c r="E6" s="552"/>
      <c r="F6" s="555" t="s">
        <v>596</v>
      </c>
      <c r="G6" s="556"/>
      <c r="H6" s="556"/>
      <c r="I6" s="550" t="str">
        <f>'прил. 2 по МП к ПЗ 2022'!I6:I7</f>
        <v xml:space="preserve">Проект бюджета города Ставрополя </v>
      </c>
      <c r="J6" s="553" t="s">
        <v>595</v>
      </c>
      <c r="K6" s="554"/>
    </row>
    <row r="7" spans="1:13" ht="94.5">
      <c r="A7" s="216"/>
      <c r="B7" s="547"/>
      <c r="C7" s="549"/>
      <c r="D7" s="356" t="s">
        <v>832</v>
      </c>
      <c r="E7" s="356" t="s">
        <v>597</v>
      </c>
      <c r="F7" s="147" t="s">
        <v>598</v>
      </c>
      <c r="G7" s="147" t="s">
        <v>833</v>
      </c>
      <c r="H7" s="147" t="s">
        <v>599</v>
      </c>
      <c r="I7" s="550"/>
      <c r="J7" s="357" t="s">
        <v>832</v>
      </c>
      <c r="K7" s="357" t="s">
        <v>597</v>
      </c>
    </row>
    <row r="8" spans="1:13">
      <c r="A8" s="100"/>
      <c r="B8" s="99">
        <v>1</v>
      </c>
      <c r="C8" s="154" t="s">
        <v>600</v>
      </c>
      <c r="D8" s="154" t="s">
        <v>480</v>
      </c>
      <c r="E8" s="154" t="s">
        <v>481</v>
      </c>
      <c r="F8" s="155" t="s">
        <v>483</v>
      </c>
      <c r="G8" s="155" t="s">
        <v>484</v>
      </c>
      <c r="H8" s="155" t="s">
        <v>601</v>
      </c>
      <c r="I8" s="156" t="s">
        <v>13</v>
      </c>
      <c r="J8" s="156" t="s">
        <v>112</v>
      </c>
      <c r="K8" s="156" t="s">
        <v>72</v>
      </c>
    </row>
    <row r="9" spans="1:13" ht="31.5">
      <c r="A9" s="100" t="s">
        <v>98</v>
      </c>
      <c r="B9" s="127" t="s">
        <v>647</v>
      </c>
      <c r="C9" s="157">
        <v>6100499.7299999995</v>
      </c>
      <c r="D9" s="157">
        <v>2242054.7599999993</v>
      </c>
      <c r="E9" s="157">
        <v>3858444.97</v>
      </c>
      <c r="F9" s="158" t="e">
        <f t="shared" ref="F9:F27" si="0">SUM(G9:H9)</f>
        <v>#REF!</v>
      </c>
      <c r="G9" s="158" t="e">
        <f t="shared" ref="G9:G27" si="1">J9-D9</f>
        <v>#REF!</v>
      </c>
      <c r="H9" s="158" t="e">
        <f t="shared" ref="H9:H27" si="2">K9-E9</f>
        <v>#REF!</v>
      </c>
      <c r="I9" s="159">
        <f>'ПРОВЕРКА прогр-непрогр'!F7</f>
        <v>8566509.5999999978</v>
      </c>
      <c r="J9" s="159" t="e">
        <f>I9-K9</f>
        <v>#REF!</v>
      </c>
      <c r="K9" s="159" t="e">
        <f>'МП и неМП'!E14+'МП и неМП'!E17+'МП и неМП'!#REF!+'МП и неМП'!E28+'МП и неМП'!#REF!+'МП и неМП'!#REF!+'МП и неМП'!E65+'МП и неМП'!#REF!+'МП и неМП'!#REF!+'МП и неМП'!#REF!+'МП и неМП'!#REF!+'МП и неМП'!#REF!+'МП и неМП'!#REF!</f>
        <v>#REF!</v>
      </c>
      <c r="L9" s="165">
        <f>'ПРОВЕРКА прогр-непрогр'!F7</f>
        <v>8566509.5999999978</v>
      </c>
      <c r="M9" s="165">
        <f t="shared" ref="M9:M28" si="3">I9-L9</f>
        <v>0</v>
      </c>
    </row>
    <row r="10" spans="1:13" s="116" customFormat="1" ht="63">
      <c r="A10" s="100" t="s">
        <v>99</v>
      </c>
      <c r="B10" s="127" t="s">
        <v>649</v>
      </c>
      <c r="C10" s="157">
        <v>5431.46</v>
      </c>
      <c r="D10" s="157">
        <v>5431.46</v>
      </c>
      <c r="E10" s="157">
        <v>0</v>
      </c>
      <c r="F10" s="158">
        <f t="shared" si="0"/>
        <v>-180</v>
      </c>
      <c r="G10" s="158">
        <f t="shared" si="1"/>
        <v>-180</v>
      </c>
      <c r="H10" s="158">
        <f t="shared" si="2"/>
        <v>0</v>
      </c>
      <c r="I10" s="159">
        <f>'ПРОВЕРКА прогр-непрогр'!F8</f>
        <v>5251.46</v>
      </c>
      <c r="J10" s="159">
        <f t="shared" ref="J10:J27" si="4">I10-K10</f>
        <v>5251.46</v>
      </c>
      <c r="K10" s="159">
        <v>0</v>
      </c>
      <c r="L10" s="165">
        <f>'ПРОВЕРКА прогр-непрогр'!F8</f>
        <v>5251.46</v>
      </c>
      <c r="M10" s="165">
        <f t="shared" si="3"/>
        <v>0</v>
      </c>
    </row>
    <row r="11" spans="1:13" s="116" customFormat="1" ht="31.5">
      <c r="A11" s="100" t="s">
        <v>85</v>
      </c>
      <c r="B11" s="127" t="s">
        <v>650</v>
      </c>
      <c r="C11" s="157">
        <v>4153634.9500000007</v>
      </c>
      <c r="D11" s="157">
        <v>89116.300000000279</v>
      </c>
      <c r="E11" s="157">
        <v>4064518.6500000004</v>
      </c>
      <c r="F11" s="158">
        <f t="shared" si="0"/>
        <v>-1339917.6200000006</v>
      </c>
      <c r="G11" s="158">
        <f t="shared" si="1"/>
        <v>-25141.729999999981</v>
      </c>
      <c r="H11" s="158">
        <f t="shared" si="2"/>
        <v>-1314775.8900000006</v>
      </c>
      <c r="I11" s="159">
        <f>'ПРОВЕРКА прогр-непрогр'!F9</f>
        <v>2813717.33</v>
      </c>
      <c r="J11" s="159">
        <f t="shared" si="4"/>
        <v>63974.570000000298</v>
      </c>
      <c r="K11" s="159">
        <f>'МП и неМП'!E112</f>
        <v>2749742.76</v>
      </c>
      <c r="L11" s="378">
        <f>'ПРОВЕРКА прогр-непрогр'!F9</f>
        <v>2813717.33</v>
      </c>
      <c r="M11" s="378">
        <f t="shared" si="3"/>
        <v>0</v>
      </c>
    </row>
    <row r="12" spans="1:13" s="379" customFormat="1" ht="63">
      <c r="A12" s="123" t="s">
        <v>69</v>
      </c>
      <c r="B12" s="127" t="s">
        <v>646</v>
      </c>
      <c r="C12" s="157">
        <v>1403170.48</v>
      </c>
      <c r="D12" s="157">
        <v>921266.27</v>
      </c>
      <c r="E12" s="157">
        <v>481904.20999999996</v>
      </c>
      <c r="F12" s="158" t="e">
        <f t="shared" si="0"/>
        <v>#REF!</v>
      </c>
      <c r="G12" s="158" t="e">
        <f t="shared" si="1"/>
        <v>#REF!</v>
      </c>
      <c r="H12" s="158" t="e">
        <f t="shared" si="2"/>
        <v>#REF!</v>
      </c>
      <c r="I12" s="159">
        <f>'ПРОВЕРКА прогр-непрогр'!F10</f>
        <v>2006767.4400000004</v>
      </c>
      <c r="J12" s="159" t="e">
        <f t="shared" si="4"/>
        <v>#REF!</v>
      </c>
      <c r="K12" s="159" t="e">
        <f>'МП и неМП'!#REF!+'МП и неМП'!#REF!+'МП и неМП'!#REF!+'МП и неМП'!#REF!+'МП и неМП'!#REF!+'МП и неМП'!E279+'МП и неМП'!#REF!+'МП и неМП'!#REF!</f>
        <v>#REF!</v>
      </c>
      <c r="L12" s="378">
        <f>'ПРОВЕРКА прогр-непрогр'!F10</f>
        <v>2006767.4400000004</v>
      </c>
      <c r="M12" s="378">
        <f t="shared" si="3"/>
        <v>0</v>
      </c>
    </row>
    <row r="13" spans="1:13" s="116" customFormat="1" ht="31.5">
      <c r="A13" s="100" t="s">
        <v>7</v>
      </c>
      <c r="B13" s="127" t="s">
        <v>652</v>
      </c>
      <c r="C13" s="157">
        <v>9488.2999999999993</v>
      </c>
      <c r="D13" s="157">
        <v>9488.2999999999993</v>
      </c>
      <c r="E13" s="157">
        <v>0</v>
      </c>
      <c r="F13" s="158">
        <f t="shared" si="0"/>
        <v>0</v>
      </c>
      <c r="G13" s="158">
        <f t="shared" si="1"/>
        <v>0</v>
      </c>
      <c r="H13" s="158">
        <f t="shared" si="2"/>
        <v>0</v>
      </c>
      <c r="I13" s="159">
        <f>'ПРОВЕРКА прогр-непрогр'!F11</f>
        <v>9488.2999999999993</v>
      </c>
      <c r="J13" s="159">
        <f t="shared" si="4"/>
        <v>9488.2999999999993</v>
      </c>
      <c r="K13" s="159">
        <v>0</v>
      </c>
      <c r="L13" s="165">
        <f>'ПРОВЕРКА прогр-непрогр'!F11</f>
        <v>9488.2999999999993</v>
      </c>
      <c r="M13" s="165">
        <f t="shared" si="3"/>
        <v>0</v>
      </c>
    </row>
    <row r="14" spans="1:13" s="116" customFormat="1" ht="31.5">
      <c r="A14" s="100" t="s">
        <v>2</v>
      </c>
      <c r="B14" s="127" t="s">
        <v>655</v>
      </c>
      <c r="C14" s="157">
        <v>36594.400000000001</v>
      </c>
      <c r="D14" s="157">
        <v>7404.630000000001</v>
      </c>
      <c r="E14" s="157">
        <v>29189.77</v>
      </c>
      <c r="F14" s="158" t="e">
        <f t="shared" si="0"/>
        <v>#REF!</v>
      </c>
      <c r="G14" s="158" t="e">
        <f t="shared" si="1"/>
        <v>#REF!</v>
      </c>
      <c r="H14" s="158" t="e">
        <f t="shared" si="2"/>
        <v>#REF!</v>
      </c>
      <c r="I14" s="159">
        <f>'ПРОВЕРКА прогр-непрогр'!F12</f>
        <v>18375.850000000002</v>
      </c>
      <c r="J14" s="159" t="e">
        <f t="shared" si="4"/>
        <v>#REF!</v>
      </c>
      <c r="K14" s="159" t="e">
        <f>'МП и неМП'!#REF!</f>
        <v>#REF!</v>
      </c>
      <c r="L14" s="165">
        <f>'ПРОВЕРКА прогр-непрогр'!F12</f>
        <v>18375.850000000002</v>
      </c>
      <c r="M14" s="165">
        <f t="shared" si="3"/>
        <v>0</v>
      </c>
    </row>
    <row r="15" spans="1:13" ht="18.75">
      <c r="A15" s="100" t="s">
        <v>104</v>
      </c>
      <c r="B15" s="127" t="s">
        <v>656</v>
      </c>
      <c r="C15" s="157">
        <v>529187.72</v>
      </c>
      <c r="D15" s="157">
        <v>522027.16</v>
      </c>
      <c r="E15" s="157">
        <v>7160.5599999999995</v>
      </c>
      <c r="F15" s="158" t="e">
        <f t="shared" si="0"/>
        <v>#REF!</v>
      </c>
      <c r="G15" s="158" t="e">
        <f t="shared" si="1"/>
        <v>#REF!</v>
      </c>
      <c r="H15" s="158" t="e">
        <f t="shared" si="2"/>
        <v>#REF!</v>
      </c>
      <c r="I15" s="159">
        <f>'ПРОВЕРКА прогр-непрогр'!F13</f>
        <v>607707.79</v>
      </c>
      <c r="J15" s="159" t="e">
        <f t="shared" si="4"/>
        <v>#REF!</v>
      </c>
      <c r="K15" s="159" t="e">
        <f>'МП и неМП'!#REF!+'МП и неМП'!#REF!</f>
        <v>#REF!</v>
      </c>
      <c r="L15" s="165">
        <f>'ПРОВЕРКА прогр-непрогр'!F13</f>
        <v>607707.79</v>
      </c>
      <c r="M15" s="165">
        <f t="shared" si="3"/>
        <v>0</v>
      </c>
    </row>
    <row r="16" spans="1:13" ht="31.5">
      <c r="A16" s="100" t="s">
        <v>82</v>
      </c>
      <c r="B16" s="127" t="s">
        <v>657</v>
      </c>
      <c r="C16" s="157">
        <v>218608.84</v>
      </c>
      <c r="D16" s="157">
        <v>218608.84</v>
      </c>
      <c r="E16" s="157">
        <v>0</v>
      </c>
      <c r="F16" s="158">
        <f t="shared" si="0"/>
        <v>50380.999999999971</v>
      </c>
      <c r="G16" s="158">
        <f t="shared" si="1"/>
        <v>50380.999999999971</v>
      </c>
      <c r="H16" s="158">
        <f t="shared" si="2"/>
        <v>0</v>
      </c>
      <c r="I16" s="159">
        <f>'ПРОВЕРКА прогр-непрогр'!F14</f>
        <v>268989.83999999997</v>
      </c>
      <c r="J16" s="159">
        <f t="shared" si="4"/>
        <v>268989.83999999997</v>
      </c>
      <c r="K16" s="159">
        <v>0</v>
      </c>
      <c r="L16" s="165">
        <f>'ПРОВЕРКА прогр-непрогр'!F14</f>
        <v>268989.83999999997</v>
      </c>
      <c r="M16" s="165">
        <f t="shared" si="3"/>
        <v>0</v>
      </c>
    </row>
    <row r="17" spans="1:13" s="116" customFormat="1" ht="31.5">
      <c r="A17" s="100" t="s">
        <v>33</v>
      </c>
      <c r="B17" s="127" t="s">
        <v>658</v>
      </c>
      <c r="C17" s="157">
        <v>12623.919999999998</v>
      </c>
      <c r="D17" s="157">
        <v>12623.919999999998</v>
      </c>
      <c r="E17" s="157">
        <v>0</v>
      </c>
      <c r="F17" s="158">
        <f t="shared" si="0"/>
        <v>3304.6900000000023</v>
      </c>
      <c r="G17" s="158">
        <f t="shared" si="1"/>
        <v>3304.6900000000023</v>
      </c>
      <c r="H17" s="158">
        <f t="shared" si="2"/>
        <v>0</v>
      </c>
      <c r="I17" s="159">
        <f>'ПРОВЕРКА прогр-непрогр'!F15</f>
        <v>15928.61</v>
      </c>
      <c r="J17" s="159">
        <f t="shared" si="4"/>
        <v>15928.61</v>
      </c>
      <c r="K17" s="159">
        <v>0</v>
      </c>
      <c r="L17" s="165">
        <f>'ПРОВЕРКА прогр-непрогр'!F15</f>
        <v>15928.61</v>
      </c>
      <c r="M17" s="165">
        <f t="shared" si="3"/>
        <v>0</v>
      </c>
    </row>
    <row r="18" spans="1:13" s="116" customFormat="1" ht="47.25">
      <c r="A18" s="100" t="s">
        <v>13</v>
      </c>
      <c r="B18" s="127" t="s">
        <v>660</v>
      </c>
      <c r="C18" s="157">
        <v>218527.73</v>
      </c>
      <c r="D18" s="157">
        <v>218527.73</v>
      </c>
      <c r="E18" s="157">
        <v>0</v>
      </c>
      <c r="F18" s="158">
        <f t="shared" si="0"/>
        <v>36272.26999999999</v>
      </c>
      <c r="G18" s="158">
        <f t="shared" si="1"/>
        <v>36272.26999999999</v>
      </c>
      <c r="H18" s="158">
        <f t="shared" si="2"/>
        <v>0</v>
      </c>
      <c r="I18" s="159">
        <f>'ПРОВЕРКА прогр-непрогр'!F16</f>
        <v>254800</v>
      </c>
      <c r="J18" s="159">
        <f t="shared" si="4"/>
        <v>254800</v>
      </c>
      <c r="K18" s="159">
        <v>0</v>
      </c>
      <c r="L18" s="165">
        <f>'ПРОВЕРКА прогр-непрогр'!F16</f>
        <v>254800</v>
      </c>
      <c r="M18" s="165">
        <f t="shared" si="3"/>
        <v>0</v>
      </c>
    </row>
    <row r="19" spans="1:13" ht="63">
      <c r="A19" s="100" t="s">
        <v>112</v>
      </c>
      <c r="B19" s="127" t="s">
        <v>662</v>
      </c>
      <c r="C19" s="157">
        <v>8310.2699999999986</v>
      </c>
      <c r="D19" s="157">
        <v>8310.2699999999986</v>
      </c>
      <c r="E19" s="157">
        <v>0</v>
      </c>
      <c r="F19" s="158">
        <f t="shared" si="0"/>
        <v>15085.42</v>
      </c>
      <c r="G19" s="158">
        <f t="shared" si="1"/>
        <v>15085.42</v>
      </c>
      <c r="H19" s="158">
        <f t="shared" si="2"/>
        <v>0</v>
      </c>
      <c r="I19" s="159">
        <f>'ПРОВЕРКА прогр-непрогр'!F17</f>
        <v>23395.69</v>
      </c>
      <c r="J19" s="159">
        <f t="shared" si="4"/>
        <v>23395.69</v>
      </c>
      <c r="K19" s="159">
        <v>0</v>
      </c>
      <c r="L19" s="165">
        <f>'ПРОВЕРКА прогр-непрогр'!F17</f>
        <v>23395.69</v>
      </c>
      <c r="M19" s="165">
        <f t="shared" si="3"/>
        <v>0</v>
      </c>
    </row>
    <row r="20" spans="1:13" ht="31.5">
      <c r="A20" s="100" t="s">
        <v>72</v>
      </c>
      <c r="B20" s="127" t="s">
        <v>664</v>
      </c>
      <c r="C20" s="157">
        <v>123572.68</v>
      </c>
      <c r="D20" s="157">
        <v>123572.68</v>
      </c>
      <c r="E20" s="157">
        <v>0</v>
      </c>
      <c r="F20" s="158">
        <f t="shared" si="0"/>
        <v>250.49000000000524</v>
      </c>
      <c r="G20" s="158">
        <f t="shared" si="1"/>
        <v>250.49000000000524</v>
      </c>
      <c r="H20" s="158">
        <f t="shared" si="2"/>
        <v>0</v>
      </c>
      <c r="I20" s="159">
        <f>'ПРОВЕРКА прогр-непрогр'!F18</f>
        <v>123823.17</v>
      </c>
      <c r="J20" s="159">
        <f t="shared" si="4"/>
        <v>123823.17</v>
      </c>
      <c r="K20" s="159">
        <v>0</v>
      </c>
      <c r="L20" s="165">
        <f>'ПРОВЕРКА прогр-непрогр'!F18</f>
        <v>123823.17</v>
      </c>
      <c r="M20" s="165">
        <f t="shared" si="3"/>
        <v>0</v>
      </c>
    </row>
    <row r="21" spans="1:13" s="116" customFormat="1" ht="47.25">
      <c r="A21" s="100" t="s">
        <v>124</v>
      </c>
      <c r="B21" s="127" t="s">
        <v>665</v>
      </c>
      <c r="C21" s="157">
        <v>260</v>
      </c>
      <c r="D21" s="157">
        <v>260</v>
      </c>
      <c r="E21" s="157">
        <v>0</v>
      </c>
      <c r="F21" s="158">
        <f t="shared" si="0"/>
        <v>0</v>
      </c>
      <c r="G21" s="158">
        <f t="shared" si="1"/>
        <v>0</v>
      </c>
      <c r="H21" s="158">
        <f t="shared" si="2"/>
        <v>0</v>
      </c>
      <c r="I21" s="159">
        <f>'ПРОВЕРКА прогр-непрогр'!F19</f>
        <v>260</v>
      </c>
      <c r="J21" s="159">
        <f t="shared" si="4"/>
        <v>260</v>
      </c>
      <c r="K21" s="159">
        <v>0</v>
      </c>
      <c r="L21" s="165">
        <f>'ПРОВЕРКА прогр-непрогр'!F19</f>
        <v>260</v>
      </c>
      <c r="M21" s="165">
        <f t="shared" si="3"/>
        <v>0</v>
      </c>
    </row>
    <row r="22" spans="1:13" s="116" customFormat="1" ht="63">
      <c r="A22" s="100" t="s">
        <v>618</v>
      </c>
      <c r="B22" s="127" t="s">
        <v>666</v>
      </c>
      <c r="C22" s="157">
        <v>47755.19</v>
      </c>
      <c r="D22" s="157">
        <v>47755.19</v>
      </c>
      <c r="E22" s="157">
        <v>0</v>
      </c>
      <c r="F22" s="158">
        <f t="shared" si="0"/>
        <v>8173.7999999999956</v>
      </c>
      <c r="G22" s="158">
        <f t="shared" si="1"/>
        <v>8173.7999999999956</v>
      </c>
      <c r="H22" s="158">
        <f t="shared" si="2"/>
        <v>0</v>
      </c>
      <c r="I22" s="159">
        <f>'ПРОВЕРКА прогр-непрогр'!F20</f>
        <v>55928.99</v>
      </c>
      <c r="J22" s="159">
        <f t="shared" si="4"/>
        <v>55928.99</v>
      </c>
      <c r="K22" s="159">
        <v>0</v>
      </c>
      <c r="L22" s="165">
        <f>'ПРОВЕРКА прогр-непрогр'!F20</f>
        <v>55928.99</v>
      </c>
      <c r="M22" s="165">
        <f t="shared" si="3"/>
        <v>0</v>
      </c>
    </row>
    <row r="23" spans="1:13" ht="47.25">
      <c r="A23" s="100" t="s">
        <v>619</v>
      </c>
      <c r="B23" s="127" t="s">
        <v>667</v>
      </c>
      <c r="C23" s="157">
        <v>148249.73000000004</v>
      </c>
      <c r="D23" s="157">
        <v>148149.73000000004</v>
      </c>
      <c r="E23" s="157">
        <v>100</v>
      </c>
      <c r="F23" s="158" t="e">
        <f t="shared" si="0"/>
        <v>#REF!</v>
      </c>
      <c r="G23" s="158" t="e">
        <f t="shared" si="1"/>
        <v>#REF!</v>
      </c>
      <c r="H23" s="158" t="e">
        <f t="shared" si="2"/>
        <v>#REF!</v>
      </c>
      <c r="I23" s="159">
        <f>'ПРОВЕРКА прогр-непрогр'!F21</f>
        <v>168464.35</v>
      </c>
      <c r="J23" s="159" t="e">
        <f t="shared" si="4"/>
        <v>#REF!</v>
      </c>
      <c r="K23" s="159" t="e">
        <f>'МП и неМП'!#REF!</f>
        <v>#REF!</v>
      </c>
      <c r="L23" s="165">
        <f>'ПРОВЕРКА прогр-непрогр'!F21</f>
        <v>168464.35</v>
      </c>
      <c r="M23" s="165">
        <f t="shared" si="3"/>
        <v>0</v>
      </c>
    </row>
    <row r="24" spans="1:13" s="116" customFormat="1" ht="78.75">
      <c r="A24" s="100" t="s">
        <v>620</v>
      </c>
      <c r="B24" s="127" t="s">
        <v>670</v>
      </c>
      <c r="C24" s="157">
        <v>114720.76999999999</v>
      </c>
      <c r="D24" s="157">
        <v>114720.76999999999</v>
      </c>
      <c r="E24" s="157">
        <v>0</v>
      </c>
      <c r="F24" s="158">
        <f t="shared" si="0"/>
        <v>39386.370000000024</v>
      </c>
      <c r="G24" s="158">
        <f t="shared" si="1"/>
        <v>39386.370000000024</v>
      </c>
      <c r="H24" s="158">
        <f t="shared" si="2"/>
        <v>0</v>
      </c>
      <c r="I24" s="159">
        <f>'ПРОВЕРКА прогр-непрогр'!F22</f>
        <v>154107.14000000001</v>
      </c>
      <c r="J24" s="159">
        <f t="shared" si="4"/>
        <v>154107.14000000001</v>
      </c>
      <c r="K24" s="159">
        <v>0</v>
      </c>
      <c r="L24" s="165">
        <f>'ПРОВЕРКА прогр-непрогр'!F22</f>
        <v>154107.14000000001</v>
      </c>
      <c r="M24" s="165">
        <f t="shared" si="3"/>
        <v>0</v>
      </c>
    </row>
    <row r="25" spans="1:13" s="116" customFormat="1" ht="47.25">
      <c r="A25" s="100" t="s">
        <v>621</v>
      </c>
      <c r="B25" s="127" t="s">
        <v>671</v>
      </c>
      <c r="C25" s="157">
        <v>9359.34</v>
      </c>
      <c r="D25" s="157">
        <v>9359.34</v>
      </c>
      <c r="E25" s="157">
        <v>0</v>
      </c>
      <c r="F25" s="158">
        <f t="shared" si="0"/>
        <v>0</v>
      </c>
      <c r="G25" s="158">
        <f t="shared" si="1"/>
        <v>0</v>
      </c>
      <c r="H25" s="158">
        <f t="shared" si="2"/>
        <v>0</v>
      </c>
      <c r="I25" s="159">
        <f>'ПРОВЕРКА прогр-непрогр'!F23</f>
        <v>9359.34</v>
      </c>
      <c r="J25" s="159">
        <f t="shared" si="4"/>
        <v>9359.34</v>
      </c>
      <c r="K25" s="159">
        <v>0</v>
      </c>
      <c r="L25" s="165">
        <f>'ПРОВЕРКА прогр-непрогр'!F23</f>
        <v>9359.34</v>
      </c>
      <c r="M25" s="165">
        <f t="shared" si="3"/>
        <v>0</v>
      </c>
    </row>
    <row r="26" spans="1:13" ht="31.5">
      <c r="A26" s="100" t="s">
        <v>622</v>
      </c>
      <c r="B26" s="127" t="s">
        <v>673</v>
      </c>
      <c r="C26" s="157">
        <v>2944</v>
      </c>
      <c r="D26" s="157">
        <v>2944</v>
      </c>
      <c r="E26" s="157">
        <v>0</v>
      </c>
      <c r="F26" s="158">
        <f t="shared" si="0"/>
        <v>0</v>
      </c>
      <c r="G26" s="158">
        <f t="shared" si="1"/>
        <v>0</v>
      </c>
      <c r="H26" s="158">
        <f t="shared" si="2"/>
        <v>0</v>
      </c>
      <c r="I26" s="159">
        <f>'ПРОВЕРКА прогр-непрогр'!F24</f>
        <v>2944</v>
      </c>
      <c r="J26" s="159">
        <f t="shared" si="4"/>
        <v>2944</v>
      </c>
      <c r="K26" s="159">
        <v>0</v>
      </c>
      <c r="L26" s="165">
        <f>'ПРОВЕРКА прогр-непрогр'!F24</f>
        <v>2944</v>
      </c>
      <c r="M26" s="165">
        <f t="shared" si="3"/>
        <v>0</v>
      </c>
    </row>
    <row r="27" spans="1:13" ht="31.5">
      <c r="A27" s="100" t="s">
        <v>798</v>
      </c>
      <c r="B27" s="127" t="s">
        <v>794</v>
      </c>
      <c r="C27" s="157">
        <v>4589.93</v>
      </c>
      <c r="D27" s="157">
        <v>4589.93</v>
      </c>
      <c r="E27" s="157">
        <v>0</v>
      </c>
      <c r="F27" s="158">
        <f t="shared" si="0"/>
        <v>192166.97</v>
      </c>
      <c r="G27" s="158">
        <f t="shared" si="1"/>
        <v>192166.97</v>
      </c>
      <c r="H27" s="158">
        <f t="shared" si="2"/>
        <v>0</v>
      </c>
      <c r="I27" s="159">
        <f>'ПРОВЕРКА прогр-непрогр'!F25</f>
        <v>196756.9</v>
      </c>
      <c r="J27" s="159">
        <f t="shared" si="4"/>
        <v>196756.9</v>
      </c>
      <c r="K27" s="159">
        <v>0</v>
      </c>
      <c r="L27" s="165">
        <f>'ПРОВЕРКА прогр-непрогр'!F25</f>
        <v>196756.9</v>
      </c>
      <c r="M27" s="165">
        <f t="shared" si="3"/>
        <v>0</v>
      </c>
    </row>
    <row r="28" spans="1:13" s="133" customFormat="1" ht="18.75">
      <c r="A28" s="124"/>
      <c r="B28" s="128" t="s">
        <v>222</v>
      </c>
      <c r="C28" s="320">
        <v>13147529.440000001</v>
      </c>
      <c r="D28" s="320">
        <v>4706211.2799999984</v>
      </c>
      <c r="E28" s="320">
        <v>8441318.160000002</v>
      </c>
      <c r="F28" s="321" t="e">
        <f t="shared" ref="F28:K28" si="5">F9+F10+F11+F12+F13+F14+F15+F16+F17+F18+F19+F20+F21+F22+F23+F24+F25+F26+F27</f>
        <v>#REF!</v>
      </c>
      <c r="G28" s="321" t="e">
        <f t="shared" si="5"/>
        <v>#REF!</v>
      </c>
      <c r="H28" s="321" t="e">
        <f t="shared" si="5"/>
        <v>#REF!</v>
      </c>
      <c r="I28" s="322">
        <f t="shared" si="5"/>
        <v>15302575.799999999</v>
      </c>
      <c r="J28" s="322" t="e">
        <f t="shared" si="5"/>
        <v>#REF!</v>
      </c>
      <c r="K28" s="322" t="e">
        <f t="shared" si="5"/>
        <v>#REF!</v>
      </c>
      <c r="L28" s="323">
        <f>'ПРОВЕРКА прогр-непрогр'!F26</f>
        <v>15302575.799999999</v>
      </c>
      <c r="M28" s="323">
        <f t="shared" si="3"/>
        <v>0</v>
      </c>
    </row>
    <row r="30" spans="1:13" ht="18.75">
      <c r="A30" s="152"/>
      <c r="B30" s="129" t="s">
        <v>587</v>
      </c>
      <c r="C30" s="157"/>
      <c r="D30" s="157"/>
      <c r="E30" s="157"/>
      <c r="F30" s="132">
        <f>'ПРОВЕРКА прогр-непрогр'!G23</f>
        <v>0</v>
      </c>
      <c r="G30" s="132"/>
      <c r="H30" s="132"/>
      <c r="I30" s="132">
        <f>'ПРОВЕРКА прогр-непрогр'!F26</f>
        <v>15302575.799999999</v>
      </c>
      <c r="J30" s="132">
        <f>'ПРОВЕРКА прогр-непрогр'!G26</f>
        <v>4117322.0699999989</v>
      </c>
      <c r="K30" s="132">
        <f>'ПРОВЕРКА прогр-непрогр'!H26</f>
        <v>12933370.640000001</v>
      </c>
    </row>
    <row r="31" spans="1:13" ht="18.75">
      <c r="A31" s="152"/>
      <c r="B31" s="129" t="s">
        <v>603</v>
      </c>
      <c r="C31" s="132">
        <v>0</v>
      </c>
      <c r="D31" s="132"/>
      <c r="E31" s="132"/>
      <c r="F31" s="132">
        <f>F25-F30</f>
        <v>0</v>
      </c>
      <c r="G31" s="132"/>
      <c r="H31" s="132"/>
      <c r="I31" s="132">
        <f>I28-I30</f>
        <v>0</v>
      </c>
      <c r="J31" s="132"/>
      <c r="K31" s="132">
        <f>K25-K30</f>
        <v>-12933370.640000001</v>
      </c>
    </row>
    <row r="33" spans="1:19" ht="18.75">
      <c r="A33" s="152"/>
      <c r="B33" s="129" t="s">
        <v>598</v>
      </c>
      <c r="C33" s="157">
        <f>'ПРОВЕРКА прогр-непрогр'!E26</f>
        <v>11185253.730000002</v>
      </c>
      <c r="D33" s="157"/>
      <c r="E33" s="157"/>
      <c r="F33" s="132">
        <f>'ПРОВЕРКА прогр-непрогр'!G26</f>
        <v>4117322.0699999989</v>
      </c>
      <c r="G33" s="132"/>
      <c r="H33" s="132"/>
      <c r="I33" s="132">
        <f>I28+'прил. 3 по неМП 2023'!I29</f>
        <v>16659028.299999999</v>
      </c>
      <c r="J33" s="132" t="e">
        <f>J28+'прил. 3 по неМП 2023'!J29</f>
        <v>#REF!</v>
      </c>
      <c r="K33" s="132" t="e">
        <f>K28+'прил. 3 по неМП 2023'!K29</f>
        <v>#REF!</v>
      </c>
    </row>
    <row r="34" spans="1:19" ht="18.75">
      <c r="A34" s="152"/>
      <c r="B34" s="129" t="s">
        <v>1117</v>
      </c>
      <c r="C34" s="132">
        <v>0</v>
      </c>
      <c r="D34" s="132"/>
      <c r="E34" s="132"/>
      <c r="F34" s="132" t="e">
        <f>F28-F33</f>
        <v>#REF!</v>
      </c>
      <c r="G34" s="132"/>
      <c r="H34" s="132"/>
      <c r="I34" s="132" t="e">
        <f>'ГРБС 2023'!#REF!</f>
        <v>#REF!</v>
      </c>
      <c r="J34" s="132" t="e">
        <f>'ГРБС 2023'!#REF!</f>
        <v>#REF!</v>
      </c>
      <c r="K34" s="132" t="e">
        <f>'ГРБС 2023'!#REF!</f>
        <v>#REF!</v>
      </c>
    </row>
    <row r="35" spans="1:19">
      <c r="B35" s="130" t="s">
        <v>603</v>
      </c>
      <c r="I35" s="164" t="e">
        <f>I33-I34</f>
        <v>#REF!</v>
      </c>
      <c r="J35" s="164" t="e">
        <f>J33-J34</f>
        <v>#REF!</v>
      </c>
      <c r="K35" s="164" t="e">
        <f>K33-K34</f>
        <v>#REF!</v>
      </c>
    </row>
    <row r="36" spans="1:19">
      <c r="I36" s="164"/>
    </row>
    <row r="37" spans="1:19" ht="18.75">
      <c r="A37" s="152"/>
      <c r="B37" s="129" t="s">
        <v>584</v>
      </c>
      <c r="C37" s="132"/>
      <c r="D37" s="132"/>
      <c r="E37" s="132"/>
      <c r="F37" s="132"/>
      <c r="G37" s="132"/>
      <c r="H37" s="132"/>
      <c r="I37" s="132"/>
      <c r="J37" s="132"/>
      <c r="K37" s="132"/>
    </row>
    <row r="38" spans="1:19" ht="18.75">
      <c r="A38" s="152"/>
      <c r="B38" s="129" t="s">
        <v>588</v>
      </c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9">
      <c r="I39" s="122"/>
      <c r="J39" s="122"/>
      <c r="K39" s="122"/>
    </row>
    <row r="40" spans="1:19" ht="72">
      <c r="C40" s="221" t="s">
        <v>779</v>
      </c>
      <c r="D40" s="221" t="s">
        <v>777</v>
      </c>
      <c r="E40" s="221" t="s">
        <v>778</v>
      </c>
      <c r="F40" s="218" t="s">
        <v>780</v>
      </c>
      <c r="G40" s="218" t="s">
        <v>777</v>
      </c>
      <c r="H40" s="218" t="s">
        <v>778</v>
      </c>
      <c r="I40" s="219" t="s">
        <v>779</v>
      </c>
      <c r="J40" s="219" t="s">
        <v>777</v>
      </c>
      <c r="K40" s="219" t="s">
        <v>778</v>
      </c>
      <c r="L40" s="164"/>
      <c r="M40" s="164"/>
      <c r="N40" s="164"/>
      <c r="O40" s="161" t="s">
        <v>630</v>
      </c>
      <c r="P40" s="161" t="s">
        <v>631</v>
      </c>
      <c r="Q40" s="130"/>
      <c r="R40" s="170" t="s">
        <v>583</v>
      </c>
      <c r="S40" s="161" t="s">
        <v>632</v>
      </c>
    </row>
    <row r="41" spans="1:19">
      <c r="C41" s="207">
        <f>SUM(D41:E41)</f>
        <v>14397930</v>
      </c>
      <c r="D41" s="207">
        <f>D28+'прил. 3 по неМП 2023'!D29</f>
        <v>5861107.3299999982</v>
      </c>
      <c r="E41" s="207">
        <f>E28+'прил. 3 по неМП 2023'!E29</f>
        <v>8536822.6700000018</v>
      </c>
      <c r="F41" s="164" t="e">
        <f>F28+'прил. 3 по неМП 2023'!F29</f>
        <v>#REF!</v>
      </c>
      <c r="G41" s="164" t="e">
        <f>G28+'прил. 3 по неМП 2023'!G29</f>
        <v>#REF!</v>
      </c>
      <c r="H41" s="164" t="e">
        <f>H28+'прил. 3 по неМП 2023'!H29</f>
        <v>#REF!</v>
      </c>
      <c r="I41" s="220" t="e">
        <f>SUM(J41:K41)</f>
        <v>#REF!</v>
      </c>
      <c r="J41" s="220" t="e">
        <f>J28+'прил. 3 по неМП 2023'!J29</f>
        <v>#REF!</v>
      </c>
      <c r="K41" s="220" t="e">
        <f>K28+'прил. 3 по неМП 2023'!K29</f>
        <v>#REF!</v>
      </c>
      <c r="L41" s="165"/>
      <c r="M41" s="165"/>
      <c r="N41" s="165"/>
      <c r="O41" s="2"/>
    </row>
    <row r="42" spans="1:19">
      <c r="C42" s="164"/>
      <c r="D42" s="164">
        <v>5011103.9000000004</v>
      </c>
      <c r="J42" s="164"/>
      <c r="K42" s="164"/>
      <c r="L42" s="165"/>
    </row>
    <row r="43" spans="1:19">
      <c r="D43" s="164">
        <f>D41-D42</f>
        <v>850003.42999999784</v>
      </c>
      <c r="J43" s="164"/>
      <c r="K43" s="164"/>
      <c r="L43" s="165"/>
    </row>
    <row r="44" spans="1:19">
      <c r="E44" s="314"/>
      <c r="F44" s="313"/>
      <c r="G44" s="164"/>
      <c r="H44" s="164"/>
      <c r="I44" s="313">
        <f>'ГРБС 2023'!M29</f>
        <v>0</v>
      </c>
      <c r="J44" s="313">
        <f>'ГРБС 2023'!M30</f>
        <v>0</v>
      </c>
      <c r="K44" s="313">
        <f>'ГРБС 2023'!M31</f>
        <v>0</v>
      </c>
      <c r="L44" s="313"/>
      <c r="M44"/>
    </row>
    <row r="45" spans="1:19">
      <c r="E45" s="313"/>
      <c r="F45" s="313"/>
      <c r="G45" s="313"/>
      <c r="H45" s="313"/>
      <c r="I45" s="313" t="e">
        <f>I41-I44</f>
        <v>#REF!</v>
      </c>
      <c r="J45" s="313" t="e">
        <f>J41-J44</f>
        <v>#REF!</v>
      </c>
      <c r="K45" s="313" t="e">
        <f>K41-K44</f>
        <v>#REF!</v>
      </c>
      <c r="L45" s="313"/>
      <c r="M45"/>
    </row>
    <row r="46" spans="1:19">
      <c r="L46" s="165"/>
    </row>
  </sheetData>
  <mergeCells count="7">
    <mergeCell ref="B4:K4"/>
    <mergeCell ref="B6:B7"/>
    <mergeCell ref="C6:C7"/>
    <mergeCell ref="I6:I7"/>
    <mergeCell ref="D6:E6"/>
    <mergeCell ref="F6:H6"/>
    <mergeCell ref="J6:K6"/>
  </mergeCells>
  <pageMargins left="0.39370078740157483" right="0.15748031496062992" top="0.23622047244094491" bottom="0.27559055118110237" header="0.23622047244094491" footer="0.19685039370078741"/>
  <pageSetup paperSize="9" scale="46" orientation="portrait" horizontalDpi="1200" verticalDpi="1200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tabColor rgb="FFFFFF99"/>
    <pageSetUpPr fitToPage="1"/>
  </sheetPr>
  <dimension ref="A1:S46"/>
  <sheetViews>
    <sheetView view="pageBreakPreview" zoomScale="68" zoomScaleSheetLayoutView="68" workbookViewId="0">
      <pane xSplit="2" ySplit="8" topLeftCell="C9" activePane="bottomRight" state="frozen"/>
      <selection activeCell="L31" activeCellId="1" sqref="K28:N28 L31"/>
      <selection pane="topRight" activeCell="L31" activeCellId="1" sqref="K28:N28 L31"/>
      <selection pane="bottomLeft" activeCell="L31" activeCellId="1" sqref="K28:N28 L31"/>
      <selection pane="bottomRight" activeCell="C9" sqref="C9:E28"/>
    </sheetView>
  </sheetViews>
  <sheetFormatPr defaultRowHeight="18"/>
  <cols>
    <col min="1" max="1" width="5.7265625" style="150" customWidth="1"/>
    <col min="2" max="2" width="21.90625" style="130" customWidth="1"/>
    <col min="3" max="3" width="15.08984375" style="161" customWidth="1"/>
    <col min="4" max="4" width="11.7265625" style="161" customWidth="1"/>
    <col min="5" max="5" width="11.90625" style="161" customWidth="1"/>
    <col min="6" max="6" width="10.54296875" style="161" customWidth="1"/>
    <col min="7" max="7" width="12.26953125" style="161" customWidth="1"/>
    <col min="8" max="8" width="11.7265625" style="161" customWidth="1"/>
    <col min="9" max="9" width="12.26953125" style="161" customWidth="1"/>
    <col min="10" max="10" width="11.54296875" style="161" bestFit="1" customWidth="1"/>
    <col min="11" max="11" width="12.90625" style="161" customWidth="1"/>
    <col min="12" max="13" width="11.7265625" style="130" bestFit="1" customWidth="1"/>
    <col min="14" max="14" width="11.7265625" bestFit="1" customWidth="1"/>
  </cols>
  <sheetData>
    <row r="1" spans="1:13">
      <c r="A1" s="149"/>
      <c r="B1" s="125"/>
      <c r="C1" s="160"/>
      <c r="D1" s="160"/>
      <c r="E1" s="160"/>
      <c r="F1" s="160"/>
      <c r="G1" s="160"/>
      <c r="H1" s="160"/>
      <c r="I1" s="160"/>
      <c r="J1" s="160"/>
      <c r="K1" s="153" t="s">
        <v>592</v>
      </c>
    </row>
    <row r="2" spans="1:13">
      <c r="A2" s="149"/>
      <c r="B2" s="125"/>
      <c r="C2" s="160"/>
      <c r="D2" s="160"/>
      <c r="E2" s="160"/>
      <c r="F2" s="160"/>
      <c r="G2" s="160"/>
      <c r="H2" s="160"/>
      <c r="I2" s="160"/>
      <c r="J2" s="160"/>
      <c r="K2" s="153" t="s">
        <v>593</v>
      </c>
    </row>
    <row r="3" spans="1:13">
      <c r="A3" s="149"/>
      <c r="B3" s="125"/>
      <c r="C3" s="160"/>
      <c r="D3" s="160"/>
      <c r="E3" s="160"/>
      <c r="F3" s="160"/>
      <c r="G3" s="160"/>
      <c r="H3" s="160"/>
      <c r="I3" s="160"/>
      <c r="J3" s="160"/>
      <c r="K3" s="153"/>
    </row>
    <row r="4" spans="1:13" ht="18.75">
      <c r="B4" s="540" t="s">
        <v>1075</v>
      </c>
      <c r="C4" s="540"/>
      <c r="D4" s="540"/>
      <c r="E4" s="540"/>
      <c r="F4" s="540"/>
      <c r="G4" s="540"/>
      <c r="H4" s="540"/>
      <c r="I4" s="540"/>
      <c r="J4" s="540"/>
      <c r="K4" s="540"/>
    </row>
    <row r="5" spans="1:13" ht="18.75">
      <c r="A5" s="151"/>
      <c r="B5" s="126"/>
      <c r="C5" s="131"/>
      <c r="D5" s="131"/>
      <c r="E5" s="131"/>
      <c r="F5" s="131"/>
      <c r="G5" s="131"/>
      <c r="H5" s="131"/>
      <c r="I5" s="131"/>
      <c r="J5" s="131"/>
      <c r="K5" s="131" t="s">
        <v>627</v>
      </c>
    </row>
    <row r="6" spans="1:13" ht="17.45" customHeight="1">
      <c r="A6" s="223" t="s">
        <v>617</v>
      </c>
      <c r="B6" s="546" t="s">
        <v>22</v>
      </c>
      <c r="C6" s="548" t="e">
        <f>'прил. 2 по МП к ПЗ 2022'!C6:C7</f>
        <v>#REF!</v>
      </c>
      <c r="D6" s="551" t="s">
        <v>595</v>
      </c>
      <c r="E6" s="557"/>
      <c r="F6" s="555" t="s">
        <v>596</v>
      </c>
      <c r="G6" s="556"/>
      <c r="H6" s="558"/>
      <c r="I6" s="559" t="str">
        <f>'прил. 2 по МП к ПЗ 2022'!I6:I7</f>
        <v xml:space="preserve">Проект бюджета города Ставрополя </v>
      </c>
      <c r="J6" s="560" t="s">
        <v>595</v>
      </c>
      <c r="K6" s="561"/>
    </row>
    <row r="7" spans="1:13" ht="113.45" customHeight="1">
      <c r="A7" s="224"/>
      <c r="B7" s="547"/>
      <c r="C7" s="549"/>
      <c r="D7" s="342" t="s">
        <v>832</v>
      </c>
      <c r="E7" s="342" t="s">
        <v>597</v>
      </c>
      <c r="F7" s="147" t="s">
        <v>598</v>
      </c>
      <c r="G7" s="147" t="s">
        <v>833</v>
      </c>
      <c r="H7" s="147" t="s">
        <v>599</v>
      </c>
      <c r="I7" s="559"/>
      <c r="J7" s="454" t="s">
        <v>832</v>
      </c>
      <c r="K7" s="455" t="s">
        <v>597</v>
      </c>
    </row>
    <row r="8" spans="1:13">
      <c r="A8" s="100"/>
      <c r="B8" s="99">
        <v>1</v>
      </c>
      <c r="C8" s="154" t="s">
        <v>600</v>
      </c>
      <c r="D8" s="154" t="s">
        <v>480</v>
      </c>
      <c r="E8" s="154" t="s">
        <v>481</v>
      </c>
      <c r="F8" s="155" t="s">
        <v>482</v>
      </c>
      <c r="G8" s="155" t="s">
        <v>483</v>
      </c>
      <c r="H8" s="155" t="s">
        <v>484</v>
      </c>
      <c r="I8" s="456" t="s">
        <v>601</v>
      </c>
      <c r="J8" s="456" t="s">
        <v>602</v>
      </c>
      <c r="K8" s="456" t="s">
        <v>13</v>
      </c>
    </row>
    <row r="9" spans="1:13" ht="47.25">
      <c r="A9" s="100" t="s">
        <v>98</v>
      </c>
      <c r="B9" s="127" t="s">
        <v>647</v>
      </c>
      <c r="C9" s="157">
        <v>6121830.0000000009</v>
      </c>
      <c r="D9" s="157">
        <v>2242272.0800000015</v>
      </c>
      <c r="E9" s="157">
        <v>3879557.9199999995</v>
      </c>
      <c r="F9" s="158" t="e">
        <f>SUM(G9:H9)</f>
        <v>#REF!</v>
      </c>
      <c r="G9" s="158" t="e">
        <f>J9-D9</f>
        <v>#REF!</v>
      </c>
      <c r="H9" s="158" t="e">
        <f>K9-E9</f>
        <v>#REF!</v>
      </c>
      <c r="I9" s="457">
        <f>'ПРОВЕРКА прогр-непрогр'!I7</f>
        <v>8607100.3399999999</v>
      </c>
      <c r="J9" s="457" t="e">
        <f>I9-K9</f>
        <v>#REF!</v>
      </c>
      <c r="K9" s="457" t="e">
        <f>'МП и неМП'!F14+'МП и неМП'!F17+'МП и неМП'!#REF!+'МП и неМП'!F28+'МП и неМП'!#REF!+'МП и неМП'!#REF!+'МП и неМП'!F65+'МП и неМП'!#REF!+'МП и неМП'!#REF!+'МП и неМП'!#REF!</f>
        <v>#REF!</v>
      </c>
      <c r="L9" s="165">
        <f>'ПРОВЕРКА прогр-непрогр'!I7</f>
        <v>8607100.3399999999</v>
      </c>
      <c r="M9" s="165">
        <f>I9-L9</f>
        <v>0</v>
      </c>
    </row>
    <row r="10" spans="1:13" s="116" customFormat="1" ht="45.75" customHeight="1">
      <c r="A10" s="100" t="s">
        <v>99</v>
      </c>
      <c r="B10" s="127" t="s">
        <v>649</v>
      </c>
      <c r="C10" s="157">
        <v>5431.46</v>
      </c>
      <c r="D10" s="157">
        <v>5431.46</v>
      </c>
      <c r="E10" s="157">
        <v>0</v>
      </c>
      <c r="F10" s="158">
        <f t="shared" ref="F10:F27" si="0">SUM(G10:H10)</f>
        <v>-180</v>
      </c>
      <c r="G10" s="158">
        <f t="shared" ref="G10:H26" si="1">J10-D10</f>
        <v>-180</v>
      </c>
      <c r="H10" s="158">
        <f t="shared" si="1"/>
        <v>0</v>
      </c>
      <c r="I10" s="457">
        <f>'ПРОВЕРКА прогр-непрогр'!I8</f>
        <v>5251.46</v>
      </c>
      <c r="J10" s="457">
        <f t="shared" ref="J10:J27" si="2">I10-K10</f>
        <v>5251.46</v>
      </c>
      <c r="K10" s="457">
        <v>0</v>
      </c>
      <c r="L10" s="165">
        <f>'ПРОВЕРКА прогр-непрогр'!I8</f>
        <v>5251.46</v>
      </c>
      <c r="M10" s="165">
        <f t="shared" ref="M10:M28" si="3">I10-L10</f>
        <v>0</v>
      </c>
    </row>
    <row r="11" spans="1:13" s="116" customFormat="1" ht="42" customHeight="1">
      <c r="A11" s="100" t="s">
        <v>85</v>
      </c>
      <c r="B11" s="127" t="s">
        <v>650</v>
      </c>
      <c r="C11" s="157">
        <v>4348167.26</v>
      </c>
      <c r="D11" s="157">
        <v>89116.299999999814</v>
      </c>
      <c r="E11" s="157">
        <v>4259050.96</v>
      </c>
      <c r="F11" s="158">
        <f t="shared" si="0"/>
        <v>-2147401.88</v>
      </c>
      <c r="G11" s="158">
        <f>J11-D11</f>
        <v>-25334.719999999739</v>
      </c>
      <c r="H11" s="158">
        <f t="shared" si="1"/>
        <v>-2122067.16</v>
      </c>
      <c r="I11" s="457">
        <f>'ПРОВЕРКА прогр-непрогр'!I9</f>
        <v>2200765.38</v>
      </c>
      <c r="J11" s="457">
        <f t="shared" si="2"/>
        <v>63781.580000000075</v>
      </c>
      <c r="K11" s="457">
        <f>'МП и неМП'!F112</f>
        <v>2136983.7999999998</v>
      </c>
      <c r="L11" s="165">
        <f>'ПРОВЕРКА прогр-непрогр'!I9</f>
        <v>2200765.38</v>
      </c>
      <c r="M11" s="165">
        <f t="shared" si="3"/>
        <v>0</v>
      </c>
    </row>
    <row r="12" spans="1:13" ht="54" customHeight="1">
      <c r="A12" s="123" t="s">
        <v>69</v>
      </c>
      <c r="B12" s="127" t="s">
        <v>646</v>
      </c>
      <c r="C12" s="157">
        <v>957509.71000000008</v>
      </c>
      <c r="D12" s="157">
        <v>903041.49000000011</v>
      </c>
      <c r="E12" s="157">
        <v>54468.22</v>
      </c>
      <c r="F12" s="158" t="e">
        <f t="shared" si="0"/>
        <v>#REF!</v>
      </c>
      <c r="G12" s="158" t="e">
        <f t="shared" si="1"/>
        <v>#REF!</v>
      </c>
      <c r="H12" s="158" t="e">
        <f t="shared" si="1"/>
        <v>#REF!</v>
      </c>
      <c r="I12" s="457">
        <f>'ПРОВЕРКА прогр-непрогр'!I10</f>
        <v>940476.33000000007</v>
      </c>
      <c r="J12" s="457" t="e">
        <f t="shared" si="2"/>
        <v>#REF!</v>
      </c>
      <c r="K12" s="457" t="e">
        <f>'МП и неМП'!#REF!+'МП и неМП'!F279+'МП и неМП'!#REF!+'МП и неМП'!#REF!+'МП и неМП'!#REF!</f>
        <v>#REF!</v>
      </c>
      <c r="L12" s="165">
        <f>'ПРОВЕРКА прогр-непрогр'!I10</f>
        <v>940476.33000000007</v>
      </c>
      <c r="M12" s="165">
        <f t="shared" si="3"/>
        <v>0</v>
      </c>
    </row>
    <row r="13" spans="1:13" s="116" customFormat="1" ht="47.25">
      <c r="A13" s="100" t="s">
        <v>7</v>
      </c>
      <c r="B13" s="127" t="s">
        <v>652</v>
      </c>
      <c r="C13" s="157">
        <v>9488.2999999999993</v>
      </c>
      <c r="D13" s="157">
        <v>9488.2999999999993</v>
      </c>
      <c r="E13" s="157">
        <v>0</v>
      </c>
      <c r="F13" s="158">
        <f t="shared" si="0"/>
        <v>0</v>
      </c>
      <c r="G13" s="158">
        <f t="shared" si="1"/>
        <v>0</v>
      </c>
      <c r="H13" s="158">
        <f t="shared" si="1"/>
        <v>0</v>
      </c>
      <c r="I13" s="457">
        <f>'ПРОВЕРКА прогр-непрогр'!I11</f>
        <v>9488.2999999999993</v>
      </c>
      <c r="J13" s="457">
        <f t="shared" si="2"/>
        <v>9488.2999999999993</v>
      </c>
      <c r="K13" s="457">
        <v>0</v>
      </c>
      <c r="L13" s="165">
        <f>'ПРОВЕРКА прогр-непрогр'!I11</f>
        <v>9488.2999999999993</v>
      </c>
      <c r="M13" s="165">
        <f t="shared" si="3"/>
        <v>0</v>
      </c>
    </row>
    <row r="14" spans="1:13" s="116" customFormat="1" ht="47.25">
      <c r="A14" s="100" t="s">
        <v>2</v>
      </c>
      <c r="B14" s="127" t="s">
        <v>655</v>
      </c>
      <c r="C14" s="157">
        <v>37099.08</v>
      </c>
      <c r="D14" s="157">
        <v>7404.630000000001</v>
      </c>
      <c r="E14" s="157">
        <v>29694.45</v>
      </c>
      <c r="F14" s="158" t="e">
        <f t="shared" si="0"/>
        <v>#REF!</v>
      </c>
      <c r="G14" s="158" t="e">
        <f t="shared" si="1"/>
        <v>#REF!</v>
      </c>
      <c r="H14" s="158" t="e">
        <f t="shared" si="1"/>
        <v>#REF!</v>
      </c>
      <c r="I14" s="457">
        <f>'ПРОВЕРКА прогр-непрогр'!I12</f>
        <v>22626.58</v>
      </c>
      <c r="J14" s="457" t="e">
        <f t="shared" si="2"/>
        <v>#REF!</v>
      </c>
      <c r="K14" s="457" t="e">
        <f>'МП и неМП'!#REF!</f>
        <v>#REF!</v>
      </c>
      <c r="L14" s="165">
        <f>'ПРОВЕРКА прогр-непрогр'!I12</f>
        <v>22626.58</v>
      </c>
      <c r="M14" s="165">
        <f t="shared" si="3"/>
        <v>0</v>
      </c>
    </row>
    <row r="15" spans="1:13" ht="31.5">
      <c r="A15" s="100" t="s">
        <v>104</v>
      </c>
      <c r="B15" s="127" t="s">
        <v>656</v>
      </c>
      <c r="C15" s="157">
        <v>547452.96</v>
      </c>
      <c r="D15" s="157">
        <v>522177.3</v>
      </c>
      <c r="E15" s="157">
        <v>25275.66</v>
      </c>
      <c r="F15" s="158" t="e">
        <f t="shared" si="0"/>
        <v>#REF!</v>
      </c>
      <c r="G15" s="158" t="e">
        <f t="shared" si="1"/>
        <v>#REF!</v>
      </c>
      <c r="H15" s="158" t="e">
        <f t="shared" si="1"/>
        <v>#REF!</v>
      </c>
      <c r="I15" s="457">
        <f>'ПРОВЕРКА прогр-непрогр'!I13</f>
        <v>597780.91</v>
      </c>
      <c r="J15" s="457" t="e">
        <f t="shared" si="2"/>
        <v>#REF!</v>
      </c>
      <c r="K15" s="457" t="e">
        <f>'МП и неМП'!#REF!+'МП и неМП'!#REF!</f>
        <v>#REF!</v>
      </c>
      <c r="L15" s="165">
        <f>'ПРОВЕРКА прогр-непрогр'!I13</f>
        <v>597780.91</v>
      </c>
      <c r="M15" s="165">
        <f t="shared" si="3"/>
        <v>0</v>
      </c>
    </row>
    <row r="16" spans="1:13" ht="47.25">
      <c r="A16" s="100" t="s">
        <v>82</v>
      </c>
      <c r="B16" s="127" t="s">
        <v>657</v>
      </c>
      <c r="C16" s="157">
        <v>218608.84</v>
      </c>
      <c r="D16" s="157">
        <v>218608.84</v>
      </c>
      <c r="E16" s="157">
        <v>0</v>
      </c>
      <c r="F16" s="158">
        <f t="shared" si="0"/>
        <v>2322.5</v>
      </c>
      <c r="G16" s="158">
        <f t="shared" si="1"/>
        <v>2322.5</v>
      </c>
      <c r="H16" s="158">
        <f t="shared" si="1"/>
        <v>0</v>
      </c>
      <c r="I16" s="457">
        <f>'ПРОВЕРКА прогр-непрогр'!I14</f>
        <v>220931.34</v>
      </c>
      <c r="J16" s="457">
        <f t="shared" si="2"/>
        <v>220931.34</v>
      </c>
      <c r="K16" s="457">
        <v>0</v>
      </c>
      <c r="L16" s="165">
        <f>'ПРОВЕРКА прогр-непрогр'!I14</f>
        <v>220931.34</v>
      </c>
      <c r="M16" s="165">
        <f t="shared" si="3"/>
        <v>0</v>
      </c>
    </row>
    <row r="17" spans="1:13" s="116" customFormat="1" ht="31.5">
      <c r="A17" s="100" t="s">
        <v>33</v>
      </c>
      <c r="B17" s="127" t="s">
        <v>658</v>
      </c>
      <c r="C17" s="157">
        <v>12623.919999999998</v>
      </c>
      <c r="D17" s="157">
        <v>12623.919999999998</v>
      </c>
      <c r="E17" s="157">
        <v>0</v>
      </c>
      <c r="F17" s="158">
        <f t="shared" si="0"/>
        <v>3306.3600000000006</v>
      </c>
      <c r="G17" s="158">
        <f t="shared" si="1"/>
        <v>3306.3600000000006</v>
      </c>
      <c r="H17" s="158">
        <f t="shared" si="1"/>
        <v>0</v>
      </c>
      <c r="I17" s="457">
        <f>'ПРОВЕРКА прогр-непрогр'!I15</f>
        <v>15930.279999999999</v>
      </c>
      <c r="J17" s="457">
        <f t="shared" si="2"/>
        <v>15930.279999999999</v>
      </c>
      <c r="K17" s="457">
        <v>0</v>
      </c>
      <c r="L17" s="165">
        <f>'ПРОВЕРКА прогр-непрогр'!I15</f>
        <v>15930.279999999999</v>
      </c>
      <c r="M17" s="165">
        <f t="shared" si="3"/>
        <v>0</v>
      </c>
    </row>
    <row r="18" spans="1:13" s="116" customFormat="1" ht="63">
      <c r="A18" s="100" t="s">
        <v>13</v>
      </c>
      <c r="B18" s="127" t="s">
        <v>660</v>
      </c>
      <c r="C18" s="157">
        <v>228061</v>
      </c>
      <c r="D18" s="157">
        <v>228061</v>
      </c>
      <c r="E18" s="157">
        <v>0</v>
      </c>
      <c r="F18" s="158">
        <f t="shared" si="0"/>
        <v>26739</v>
      </c>
      <c r="G18" s="158">
        <f t="shared" si="1"/>
        <v>26739</v>
      </c>
      <c r="H18" s="158">
        <f t="shared" si="1"/>
        <v>0</v>
      </c>
      <c r="I18" s="457">
        <f>'ПРОВЕРКА прогр-непрогр'!I16</f>
        <v>254800</v>
      </c>
      <c r="J18" s="457">
        <f t="shared" si="2"/>
        <v>254800</v>
      </c>
      <c r="K18" s="457">
        <v>0</v>
      </c>
      <c r="L18" s="165">
        <f>'ПРОВЕРКА прогр-непрогр'!I16</f>
        <v>254800</v>
      </c>
      <c r="M18" s="165">
        <f t="shared" si="3"/>
        <v>0</v>
      </c>
    </row>
    <row r="19" spans="1:13" ht="59.25" customHeight="1">
      <c r="A19" s="100" t="s">
        <v>112</v>
      </c>
      <c r="B19" s="127" t="s">
        <v>662</v>
      </c>
      <c r="C19" s="157">
        <v>8310.2699999999986</v>
      </c>
      <c r="D19" s="157">
        <v>8310.2699999999986</v>
      </c>
      <c r="E19" s="157">
        <v>0</v>
      </c>
      <c r="F19" s="158">
        <f t="shared" si="0"/>
        <v>3048.9600000000009</v>
      </c>
      <c r="G19" s="158">
        <f t="shared" si="1"/>
        <v>3048.9600000000009</v>
      </c>
      <c r="H19" s="158">
        <f t="shared" si="1"/>
        <v>0</v>
      </c>
      <c r="I19" s="457">
        <f>'ПРОВЕРКА прогр-непрогр'!I17</f>
        <v>11359.23</v>
      </c>
      <c r="J19" s="457">
        <f t="shared" si="2"/>
        <v>11359.23</v>
      </c>
      <c r="K19" s="457">
        <v>0</v>
      </c>
      <c r="L19" s="165">
        <f>'ПРОВЕРКА прогр-непрогр'!I17</f>
        <v>11359.23</v>
      </c>
      <c r="M19" s="165">
        <f t="shared" si="3"/>
        <v>0</v>
      </c>
    </row>
    <row r="20" spans="1:13" ht="47.25">
      <c r="A20" s="100" t="s">
        <v>72</v>
      </c>
      <c r="B20" s="127" t="s">
        <v>664</v>
      </c>
      <c r="C20" s="157">
        <v>123572.68</v>
      </c>
      <c r="D20" s="157">
        <v>123572.68</v>
      </c>
      <c r="E20" s="157">
        <v>0</v>
      </c>
      <c r="F20" s="158">
        <f t="shared" si="0"/>
        <v>422.77000000000407</v>
      </c>
      <c r="G20" s="158">
        <f t="shared" si="1"/>
        <v>422.77000000000407</v>
      </c>
      <c r="H20" s="158">
        <f t="shared" si="1"/>
        <v>0</v>
      </c>
      <c r="I20" s="457">
        <f>'ПРОВЕРКА прогр-непрогр'!I18</f>
        <v>123995.45</v>
      </c>
      <c r="J20" s="457">
        <f t="shared" si="2"/>
        <v>123995.45</v>
      </c>
      <c r="K20" s="457">
        <v>0</v>
      </c>
      <c r="L20" s="165">
        <f>'ПРОВЕРКА прогр-непрогр'!I18</f>
        <v>123995.45</v>
      </c>
      <c r="M20" s="165">
        <f t="shared" si="3"/>
        <v>0</v>
      </c>
    </row>
    <row r="21" spans="1:13" s="116" customFormat="1" ht="63">
      <c r="A21" s="100" t="s">
        <v>124</v>
      </c>
      <c r="B21" s="127" t="s">
        <v>665</v>
      </c>
      <c r="C21" s="157">
        <v>260</v>
      </c>
      <c r="D21" s="157">
        <v>260</v>
      </c>
      <c r="E21" s="157">
        <v>0</v>
      </c>
      <c r="F21" s="158">
        <f t="shared" si="0"/>
        <v>0</v>
      </c>
      <c r="G21" s="158">
        <f t="shared" si="1"/>
        <v>0</v>
      </c>
      <c r="H21" s="158">
        <f t="shared" si="1"/>
        <v>0</v>
      </c>
      <c r="I21" s="457">
        <f>'ПРОВЕРКА прогр-непрогр'!I19</f>
        <v>260</v>
      </c>
      <c r="J21" s="457">
        <f t="shared" si="2"/>
        <v>260</v>
      </c>
      <c r="K21" s="457">
        <v>0</v>
      </c>
      <c r="L21" s="165">
        <f>'ПРОВЕРКА прогр-непрогр'!I19</f>
        <v>260</v>
      </c>
      <c r="M21" s="165">
        <f t="shared" si="3"/>
        <v>0</v>
      </c>
    </row>
    <row r="22" spans="1:13" s="116" customFormat="1" ht="110.25">
      <c r="A22" s="100" t="s">
        <v>618</v>
      </c>
      <c r="B22" s="127" t="s">
        <v>666</v>
      </c>
      <c r="C22" s="157">
        <v>41748.51</v>
      </c>
      <c r="D22" s="157">
        <v>41748.51</v>
      </c>
      <c r="E22" s="157">
        <v>0</v>
      </c>
      <c r="F22" s="158">
        <f t="shared" si="0"/>
        <v>398.79999999999563</v>
      </c>
      <c r="G22" s="158">
        <f t="shared" si="1"/>
        <v>398.79999999999563</v>
      </c>
      <c r="H22" s="158">
        <f t="shared" si="1"/>
        <v>0</v>
      </c>
      <c r="I22" s="457">
        <f>'ПРОВЕРКА прогр-непрогр'!I20</f>
        <v>42147.31</v>
      </c>
      <c r="J22" s="457">
        <f t="shared" si="2"/>
        <v>42147.31</v>
      </c>
      <c r="K22" s="457">
        <v>0</v>
      </c>
      <c r="L22" s="165">
        <f>'ПРОВЕРКА прогр-непрогр'!I20</f>
        <v>42147.31</v>
      </c>
      <c r="M22" s="165">
        <f t="shared" si="3"/>
        <v>0</v>
      </c>
    </row>
    <row r="23" spans="1:13" ht="78.75">
      <c r="A23" s="100" t="s">
        <v>619</v>
      </c>
      <c r="B23" s="127" t="s">
        <v>667</v>
      </c>
      <c r="C23" s="157">
        <v>141592.61000000002</v>
      </c>
      <c r="D23" s="157">
        <v>141492.61000000002</v>
      </c>
      <c r="E23" s="157">
        <v>100</v>
      </c>
      <c r="F23" s="158" t="e">
        <f t="shared" si="0"/>
        <v>#REF!</v>
      </c>
      <c r="G23" s="158" t="e">
        <f t="shared" si="1"/>
        <v>#REF!</v>
      </c>
      <c r="H23" s="158" t="e">
        <f t="shared" si="1"/>
        <v>#REF!</v>
      </c>
      <c r="I23" s="457">
        <f>'ПРОВЕРКА прогр-непрогр'!I21</f>
        <v>149865.06000000003</v>
      </c>
      <c r="J23" s="457" t="e">
        <f t="shared" si="2"/>
        <v>#REF!</v>
      </c>
      <c r="K23" s="457" t="e">
        <f>'МП и неМП'!#REF!</f>
        <v>#REF!</v>
      </c>
      <c r="L23" s="165">
        <f>'ПРОВЕРКА прогр-непрогр'!I21</f>
        <v>149865.06000000003</v>
      </c>
      <c r="M23" s="165">
        <f t="shared" si="3"/>
        <v>0</v>
      </c>
    </row>
    <row r="24" spans="1:13" s="116" customFormat="1" ht="78" customHeight="1">
      <c r="A24" s="100" t="s">
        <v>620</v>
      </c>
      <c r="B24" s="127" t="s">
        <v>670</v>
      </c>
      <c r="C24" s="157">
        <v>114720.76999999999</v>
      </c>
      <c r="D24" s="157">
        <v>114720.76999999999</v>
      </c>
      <c r="E24" s="157">
        <v>0</v>
      </c>
      <c r="F24" s="158">
        <f t="shared" si="0"/>
        <v>1885.7200000000157</v>
      </c>
      <c r="G24" s="158">
        <f t="shared" si="1"/>
        <v>1885.7200000000157</v>
      </c>
      <c r="H24" s="158">
        <f t="shared" si="1"/>
        <v>0</v>
      </c>
      <c r="I24" s="457">
        <f>'ПРОВЕРКА прогр-непрогр'!I22</f>
        <v>116606.49</v>
      </c>
      <c r="J24" s="457">
        <f t="shared" si="2"/>
        <v>116606.49</v>
      </c>
      <c r="K24" s="457">
        <v>0</v>
      </c>
      <c r="L24" s="165">
        <f>'ПРОВЕРКА прогр-непрогр'!I22</f>
        <v>116606.49</v>
      </c>
      <c r="M24" s="165">
        <f t="shared" si="3"/>
        <v>0</v>
      </c>
    </row>
    <row r="25" spans="1:13" s="116" customFormat="1" ht="78.75">
      <c r="A25" s="100" t="s">
        <v>621</v>
      </c>
      <c r="B25" s="127" t="s">
        <v>671</v>
      </c>
      <c r="C25" s="157">
        <v>9359.34</v>
      </c>
      <c r="D25" s="157">
        <v>9359.34</v>
      </c>
      <c r="E25" s="157">
        <v>0</v>
      </c>
      <c r="F25" s="158">
        <f t="shared" si="0"/>
        <v>0</v>
      </c>
      <c r="G25" s="158">
        <f t="shared" si="1"/>
        <v>0</v>
      </c>
      <c r="H25" s="158">
        <f t="shared" si="1"/>
        <v>0</v>
      </c>
      <c r="I25" s="457">
        <f>'ПРОВЕРКА прогр-непрогр'!I23</f>
        <v>9359.34</v>
      </c>
      <c r="J25" s="457">
        <f t="shared" si="2"/>
        <v>9359.34</v>
      </c>
      <c r="K25" s="457">
        <v>0</v>
      </c>
      <c r="L25" s="165">
        <f>'ПРОВЕРКА прогр-непрогр'!I23</f>
        <v>9359.34</v>
      </c>
      <c r="M25" s="165">
        <f t="shared" si="3"/>
        <v>0</v>
      </c>
    </row>
    <row r="26" spans="1:13" ht="47.25">
      <c r="A26" s="100" t="s">
        <v>622</v>
      </c>
      <c r="B26" s="127" t="s">
        <v>673</v>
      </c>
      <c r="C26" s="157">
        <v>2944</v>
      </c>
      <c r="D26" s="157">
        <v>2944</v>
      </c>
      <c r="E26" s="157">
        <v>0</v>
      </c>
      <c r="F26" s="158">
        <f t="shared" si="0"/>
        <v>0</v>
      </c>
      <c r="G26" s="158">
        <f t="shared" si="1"/>
        <v>0</v>
      </c>
      <c r="H26" s="158">
        <f t="shared" si="1"/>
        <v>0</v>
      </c>
      <c r="I26" s="457">
        <f>'ПРОВЕРКА прогр-непрогр'!I24</f>
        <v>2944</v>
      </c>
      <c r="J26" s="457">
        <f t="shared" si="2"/>
        <v>2944</v>
      </c>
      <c r="K26" s="457">
        <v>0</v>
      </c>
      <c r="L26" s="165">
        <f>'ПРОВЕРКА прогр-непрогр'!I24</f>
        <v>2944</v>
      </c>
      <c r="M26" s="165">
        <f t="shared" si="3"/>
        <v>0</v>
      </c>
    </row>
    <row r="27" spans="1:13" ht="63">
      <c r="A27" s="100" t="s">
        <v>798</v>
      </c>
      <c r="B27" s="127" t="s">
        <v>794</v>
      </c>
      <c r="C27" s="157">
        <v>4589.93</v>
      </c>
      <c r="D27" s="157">
        <v>4589.93</v>
      </c>
      <c r="E27" s="157">
        <v>0</v>
      </c>
      <c r="F27" s="158">
        <f t="shared" si="0"/>
        <v>0</v>
      </c>
      <c r="G27" s="158">
        <f>J27-D27</f>
        <v>0</v>
      </c>
      <c r="H27" s="158">
        <f>K27-E27</f>
        <v>0</v>
      </c>
      <c r="I27" s="457">
        <f>'МП и неМП'!F631</f>
        <v>4589.93</v>
      </c>
      <c r="J27" s="457">
        <f t="shared" si="2"/>
        <v>4589.93</v>
      </c>
      <c r="K27" s="457">
        <v>0</v>
      </c>
      <c r="L27" s="165">
        <f>'ПРОВЕРКА прогр-непрогр'!I25</f>
        <v>4589.93</v>
      </c>
      <c r="M27" s="165">
        <f t="shared" si="3"/>
        <v>0</v>
      </c>
    </row>
    <row r="28" spans="1:13" ht="18.75">
      <c r="A28" s="124"/>
      <c r="B28" s="128" t="s">
        <v>222</v>
      </c>
      <c r="C28" s="157">
        <v>12933370.640000001</v>
      </c>
      <c r="D28" s="157">
        <v>4685223.4299999988</v>
      </c>
      <c r="E28" s="157">
        <v>8248147.209999999</v>
      </c>
      <c r="F28" s="158" t="e">
        <f t="shared" ref="F28:K28" si="4">F9+F10+F11+F12+F13+F14+F15+F16+F17+F18+F19+F20+F21+F22+F23+F24+F25+F26+F27</f>
        <v>#REF!</v>
      </c>
      <c r="G28" s="158" t="e">
        <f t="shared" si="4"/>
        <v>#REF!</v>
      </c>
      <c r="H28" s="158" t="e">
        <f t="shared" si="4"/>
        <v>#REF!</v>
      </c>
      <c r="I28" s="457">
        <f t="shared" si="4"/>
        <v>13336277.73</v>
      </c>
      <c r="J28" s="457" t="e">
        <f t="shared" si="4"/>
        <v>#REF!</v>
      </c>
      <c r="K28" s="457" t="e">
        <f t="shared" si="4"/>
        <v>#REF!</v>
      </c>
      <c r="L28" s="165">
        <f>'ПРОВЕРКА прогр-непрогр'!I26</f>
        <v>13336277.73</v>
      </c>
      <c r="M28" s="165">
        <f t="shared" si="3"/>
        <v>0</v>
      </c>
    </row>
    <row r="33" spans="1:19" ht="18.75">
      <c r="A33" s="152"/>
      <c r="B33" s="129" t="s">
        <v>587</v>
      </c>
      <c r="C33" s="132">
        <f>'ПРОВЕРКА прогр-непрогр'!H26</f>
        <v>12933370.640000001</v>
      </c>
      <c r="D33" s="132"/>
      <c r="E33" s="132"/>
      <c r="F33" s="132">
        <f>'ПРОВЕРКА прогр-непрогр'!J26</f>
        <v>402907.08999999915</v>
      </c>
      <c r="G33" s="132"/>
      <c r="H33" s="132"/>
      <c r="I33" s="132">
        <f>'ПРОВЕРКА прогр-непрогр'!I26</f>
        <v>13336277.73</v>
      </c>
      <c r="J33" s="132"/>
      <c r="K33" s="132">
        <f>'ГРБС 2024'!C20-'прил. 3 по неМП 2024'!K27</f>
        <v>-110227.6</v>
      </c>
    </row>
    <row r="34" spans="1:19" ht="18.75">
      <c r="A34" s="152"/>
      <c r="B34" s="129" t="s">
        <v>603</v>
      </c>
      <c r="C34" s="132">
        <v>0</v>
      </c>
      <c r="D34" s="132"/>
      <c r="E34" s="132"/>
      <c r="F34" s="132" t="e">
        <f>F28-F33</f>
        <v>#REF!</v>
      </c>
      <c r="G34" s="132"/>
      <c r="H34" s="132"/>
      <c r="I34" s="132">
        <f>I28-I33</f>
        <v>0</v>
      </c>
      <c r="J34" s="132"/>
      <c r="K34" s="132" t="e">
        <f>K28-K33</f>
        <v>#REF!</v>
      </c>
    </row>
    <row r="35" spans="1:19">
      <c r="J35" s="164"/>
    </row>
    <row r="36" spans="1:19">
      <c r="B36" s="130" t="s">
        <v>1116</v>
      </c>
      <c r="I36" s="164">
        <f>'прил. 3 по неМП 2024'!I29</f>
        <v>1204040.29</v>
      </c>
      <c r="J36" s="164">
        <f>'прил. 3 по неМП 2024'!J29</f>
        <v>1093812.69</v>
      </c>
      <c r="K36" s="164">
        <f>'прил. 3 по неМП 2024'!K29</f>
        <v>110227.6</v>
      </c>
    </row>
    <row r="37" spans="1:19" ht="18.75">
      <c r="A37" s="152"/>
      <c r="B37" s="129" t="s">
        <v>598</v>
      </c>
      <c r="C37" s="132"/>
      <c r="D37" s="132"/>
      <c r="E37" s="132"/>
      <c r="F37" s="132"/>
      <c r="G37" s="132"/>
      <c r="H37" s="132"/>
      <c r="I37" s="132">
        <f>I28+I36</f>
        <v>14540318.02</v>
      </c>
      <c r="J37" s="132" t="e">
        <f>J28+J36</f>
        <v>#REF!</v>
      </c>
      <c r="K37" s="132" t="e">
        <f>K28+K36</f>
        <v>#REF!</v>
      </c>
    </row>
    <row r="38" spans="1:19" ht="18.75">
      <c r="A38" s="152"/>
      <c r="B38" s="129" t="s">
        <v>1117</v>
      </c>
      <c r="C38" s="132"/>
      <c r="D38" s="132"/>
      <c r="E38" s="132"/>
      <c r="F38" s="132"/>
      <c r="G38" s="132"/>
      <c r="H38" s="132"/>
      <c r="I38" s="132" t="e">
        <f>'ГРБС 2024'!#REF!</f>
        <v>#REF!</v>
      </c>
      <c r="J38" s="132" t="e">
        <f>'ГРБС 2024'!#REF!</f>
        <v>#REF!</v>
      </c>
      <c r="K38" s="132" t="e">
        <f>'ГРБС 2024'!#REF!</f>
        <v>#REF!</v>
      </c>
    </row>
    <row r="39" spans="1:19" ht="18.75">
      <c r="A39" s="152"/>
      <c r="B39" s="129" t="s">
        <v>603</v>
      </c>
      <c r="C39" s="132"/>
      <c r="D39" s="132"/>
      <c r="E39" s="132"/>
      <c r="F39" s="132"/>
      <c r="G39" s="132"/>
      <c r="H39" s="132"/>
      <c r="I39" s="132" t="e">
        <f>I37-I38</f>
        <v>#REF!</v>
      </c>
      <c r="J39" s="132" t="e">
        <f>J37-J38</f>
        <v>#REF!</v>
      </c>
      <c r="K39" s="132" t="e">
        <f>K37-K38</f>
        <v>#REF!</v>
      </c>
    </row>
    <row r="40" spans="1:19">
      <c r="I40" s="122"/>
      <c r="J40" s="122"/>
      <c r="K40" s="122"/>
    </row>
    <row r="41" spans="1:19" ht="27" customHeight="1">
      <c r="C41" s="221" t="s">
        <v>779</v>
      </c>
      <c r="D41" s="221" t="s">
        <v>777</v>
      </c>
      <c r="E41" s="221" t="s">
        <v>778</v>
      </c>
      <c r="F41" s="218" t="s">
        <v>780</v>
      </c>
      <c r="G41" s="218" t="s">
        <v>777</v>
      </c>
      <c r="H41" s="218" t="s">
        <v>778</v>
      </c>
      <c r="I41" s="219" t="s">
        <v>779</v>
      </c>
      <c r="J41" s="219" t="s">
        <v>777</v>
      </c>
      <c r="K41" s="219" t="s">
        <v>778</v>
      </c>
      <c r="L41" s="164"/>
      <c r="M41" s="164"/>
      <c r="N41" s="164"/>
      <c r="O41" s="161" t="s">
        <v>630</v>
      </c>
      <c r="P41" s="161" t="s">
        <v>631</v>
      </c>
      <c r="Q41" s="130"/>
      <c r="R41" s="170" t="s">
        <v>583</v>
      </c>
      <c r="S41" s="161" t="s">
        <v>632</v>
      </c>
    </row>
    <row r="42" spans="1:19">
      <c r="C42" s="207">
        <v>8924272.6199999992</v>
      </c>
      <c r="D42" s="207">
        <v>4607121.43</v>
      </c>
      <c r="E42" s="207">
        <v>4317151.1899999995</v>
      </c>
      <c r="F42" s="164" t="e">
        <f>SUM(G42:H42)</f>
        <v>#REF!</v>
      </c>
      <c r="G42" s="164" t="e">
        <f>G28+'прил. 3 по неМП 2024'!G29</f>
        <v>#REF!</v>
      </c>
      <c r="H42" s="164" t="e">
        <f>H28+'прил. 3 по неМП 2024'!H29</f>
        <v>#REF!</v>
      </c>
      <c r="I42" s="220" t="e">
        <f>SUM(J42:K42)</f>
        <v>#REF!</v>
      </c>
      <c r="J42" s="220" t="e">
        <f>J28+'прил. 3 по неМП 2024'!J29</f>
        <v>#REF!</v>
      </c>
      <c r="K42" s="220" t="e">
        <f>K28+'прил. 3 по неМП 2024'!K29</f>
        <v>#REF!</v>
      </c>
      <c r="L42" s="165"/>
      <c r="M42" s="165"/>
      <c r="N42" s="165"/>
      <c r="O42" s="2"/>
    </row>
    <row r="43" spans="1:19">
      <c r="C43" s="164"/>
      <c r="D43" s="164"/>
      <c r="J43" s="164"/>
      <c r="K43" s="164"/>
      <c r="L43" s="165"/>
    </row>
    <row r="44" spans="1:19">
      <c r="J44" s="164"/>
      <c r="K44" s="164"/>
      <c r="L44" s="165"/>
    </row>
    <row r="45" spans="1:19">
      <c r="E45" s="314"/>
      <c r="F45" s="313"/>
      <c r="G45" s="313"/>
      <c r="H45" s="313"/>
      <c r="I45" s="313">
        <f>'ГРБС 2024'!K29</f>
        <v>0</v>
      </c>
      <c r="J45" s="313">
        <f>'ГРБС 2024'!K30</f>
        <v>0</v>
      </c>
      <c r="K45" s="313">
        <f>'ГРБС 2024'!K31</f>
        <v>0</v>
      </c>
      <c r="L45" s="165"/>
    </row>
    <row r="46" spans="1:19">
      <c r="E46" s="313"/>
      <c r="F46" s="313"/>
      <c r="G46" s="313"/>
      <c r="H46" s="313"/>
      <c r="I46" s="313" t="e">
        <f>I42-I45</f>
        <v>#REF!</v>
      </c>
      <c r="J46" s="313" t="e">
        <f>J42-J45</f>
        <v>#REF!</v>
      </c>
      <c r="K46" s="313" t="e">
        <f>K42-K45</f>
        <v>#REF!</v>
      </c>
      <c r="L46" s="165"/>
    </row>
  </sheetData>
  <mergeCells count="7">
    <mergeCell ref="B4:K4"/>
    <mergeCell ref="B6:B7"/>
    <mergeCell ref="C6:C7"/>
    <mergeCell ref="D6:E6"/>
    <mergeCell ref="F6:H6"/>
    <mergeCell ref="I6:I7"/>
    <mergeCell ref="J6:K6"/>
  </mergeCells>
  <pageMargins left="0.39370078740157483" right="0.15748031496062992" top="0.23622047244094491" bottom="0.27559055118110237" header="0.23622047244094491" footer="0.19685039370078741"/>
  <pageSetup paperSize="9" scale="74" fitToHeight="0" orientation="landscape" horizontalDpi="1200" verticalDpi="1200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rgb="FFFFCCFF"/>
    <pageSetUpPr fitToPage="1"/>
  </sheetPr>
  <dimension ref="A1:M33"/>
  <sheetViews>
    <sheetView showGridLines="0" view="pageBreakPreview" zoomScale="85" zoomScaleSheetLayoutView="85" workbookViewId="0">
      <pane xSplit="2" ySplit="9" topLeftCell="C10" activePane="bottomRight" state="frozen"/>
      <selection activeCell="L31" activeCellId="1" sqref="K28:N28 L31"/>
      <selection pane="topRight" activeCell="L31" activeCellId="1" sqref="K28:N28 L31"/>
      <selection pane="bottomLeft" activeCell="L31" activeCellId="1" sqref="K28:N28 L31"/>
      <selection pane="bottomRight" activeCell="C10" sqref="C10:E27"/>
    </sheetView>
  </sheetViews>
  <sheetFormatPr defaultColWidth="6.26953125" defaultRowHeight="15" customHeight="1"/>
  <cols>
    <col min="1" max="1" width="6.26953125" style="97"/>
    <col min="2" max="2" width="40.1796875" style="97" customWidth="1"/>
    <col min="3" max="3" width="15.90625" style="106" customWidth="1"/>
    <col min="4" max="4" width="10" style="106" customWidth="1"/>
    <col min="5" max="5" width="9.90625" style="106" customWidth="1"/>
    <col min="6" max="6" width="10.36328125" style="104" customWidth="1"/>
    <col min="7" max="7" width="9" style="104" customWidth="1"/>
    <col min="8" max="8" width="9.6328125" style="104" customWidth="1"/>
    <col min="9" max="9" width="11.36328125" style="117" customWidth="1"/>
    <col min="10" max="10" width="10.1796875" style="117" customWidth="1"/>
    <col min="11" max="11" width="10.7265625" style="117" customWidth="1"/>
    <col min="12" max="12" width="9.36328125" style="97" bestFit="1" customWidth="1"/>
    <col min="13" max="13" width="7.90625" style="97" customWidth="1"/>
    <col min="14" max="16384" width="6.26953125" style="97"/>
  </cols>
  <sheetData>
    <row r="1" spans="1:13" s="188" customFormat="1" ht="15.75">
      <c r="C1" s="189"/>
      <c r="F1" s="190"/>
      <c r="G1" s="190"/>
      <c r="H1" s="190"/>
      <c r="I1" s="198"/>
      <c r="J1" s="198"/>
      <c r="K1" s="199" t="s">
        <v>625</v>
      </c>
      <c r="L1" s="97"/>
      <c r="M1" s="97"/>
    </row>
    <row r="2" spans="1:13" s="188" customFormat="1" ht="15.75">
      <c r="C2" s="189"/>
      <c r="F2" s="190"/>
      <c r="G2" s="190"/>
      <c r="H2" s="190"/>
      <c r="I2" s="198"/>
      <c r="J2" s="198"/>
      <c r="K2" s="199" t="s">
        <v>593</v>
      </c>
      <c r="L2" s="97"/>
      <c r="M2" s="97"/>
    </row>
    <row r="3" spans="1:13" s="188" customFormat="1" ht="15.75">
      <c r="C3" s="189"/>
      <c r="F3" s="190"/>
      <c r="G3" s="190"/>
      <c r="H3" s="190"/>
      <c r="I3" s="198"/>
      <c r="J3" s="198"/>
      <c r="K3" s="199"/>
      <c r="L3" s="97"/>
      <c r="M3" s="97"/>
    </row>
    <row r="4" spans="1:13" ht="15" customHeight="1">
      <c r="B4" s="562" t="s">
        <v>626</v>
      </c>
      <c r="C4" s="562"/>
      <c r="D4" s="562"/>
      <c r="E4" s="562"/>
      <c r="F4" s="562"/>
      <c r="G4" s="562"/>
      <c r="H4" s="562"/>
      <c r="I4" s="562"/>
      <c r="J4" s="562"/>
      <c r="K4" s="562"/>
      <c r="L4" s="166"/>
      <c r="M4" s="166"/>
    </row>
    <row r="5" spans="1:13" ht="35.25" customHeight="1">
      <c r="B5" s="563" t="s">
        <v>930</v>
      </c>
      <c r="C5" s="563"/>
      <c r="D5" s="563"/>
      <c r="E5" s="563"/>
      <c r="F5" s="563"/>
      <c r="G5" s="563"/>
      <c r="H5" s="563"/>
      <c r="I5" s="563"/>
      <c r="J5" s="563"/>
      <c r="K5" s="563"/>
      <c r="L5" s="166"/>
      <c r="M5" s="166"/>
    </row>
    <row r="6" spans="1:13" ht="15" customHeight="1">
      <c r="B6" s="98"/>
      <c r="C6" s="191"/>
      <c r="D6" s="192"/>
      <c r="E6" s="192"/>
      <c r="K6" s="200" t="s">
        <v>627</v>
      </c>
    </row>
    <row r="7" spans="1:13" ht="15.6" customHeight="1">
      <c r="A7" s="564" t="s">
        <v>617</v>
      </c>
      <c r="B7" s="543" t="s">
        <v>22</v>
      </c>
      <c r="C7" s="548" t="e">
        <f>'ПРОВЕРКА прогр-непрогр'!#REF!</f>
        <v>#REF!</v>
      </c>
      <c r="D7" s="551" t="s">
        <v>595</v>
      </c>
      <c r="E7" s="557"/>
      <c r="F7" s="555" t="s">
        <v>596</v>
      </c>
      <c r="G7" s="556"/>
      <c r="H7" s="558"/>
      <c r="I7" s="550" t="s">
        <v>838</v>
      </c>
      <c r="J7" s="566" t="s">
        <v>595</v>
      </c>
      <c r="K7" s="567"/>
    </row>
    <row r="8" spans="1:13" ht="94.5">
      <c r="A8" s="565"/>
      <c r="B8" s="543"/>
      <c r="C8" s="549"/>
      <c r="D8" s="185" t="s">
        <v>832</v>
      </c>
      <c r="E8" s="185" t="s">
        <v>597</v>
      </c>
      <c r="F8" s="147" t="s">
        <v>598</v>
      </c>
      <c r="G8" s="147" t="s">
        <v>833</v>
      </c>
      <c r="H8" s="147" t="s">
        <v>599</v>
      </c>
      <c r="I8" s="550"/>
      <c r="J8" s="148" t="s">
        <v>832</v>
      </c>
      <c r="K8" s="148" t="s">
        <v>597</v>
      </c>
      <c r="L8" s="130" t="s">
        <v>629</v>
      </c>
      <c r="M8" s="130" t="s">
        <v>91</v>
      </c>
    </row>
    <row r="9" spans="1:13" s="184" customFormat="1" ht="15" customHeight="1">
      <c r="A9" s="193">
        <v>1</v>
      </c>
      <c r="B9" s="193">
        <v>2</v>
      </c>
      <c r="C9" s="194">
        <v>3</v>
      </c>
      <c r="D9" s="194">
        <v>4</v>
      </c>
      <c r="E9" s="194">
        <v>5</v>
      </c>
      <c r="F9" s="195">
        <v>6</v>
      </c>
      <c r="G9" s="195">
        <v>7</v>
      </c>
      <c r="H9" s="195">
        <v>8</v>
      </c>
      <c r="I9" s="203">
        <v>9</v>
      </c>
      <c r="J9" s="203">
        <v>10</v>
      </c>
      <c r="K9" s="203">
        <v>11</v>
      </c>
    </row>
    <row r="10" spans="1:13" s="101" customFormat="1" ht="15.75">
      <c r="A10" s="100">
        <v>70</v>
      </c>
      <c r="B10" s="127" t="s">
        <v>159</v>
      </c>
      <c r="C10" s="217">
        <v>56523.31</v>
      </c>
      <c r="D10" s="217">
        <v>56523.31</v>
      </c>
      <c r="E10" s="217">
        <v>0</v>
      </c>
      <c r="F10" s="204" t="e">
        <f>SUM(G10:H10)</f>
        <v>#REF!</v>
      </c>
      <c r="G10" s="204" t="e">
        <f>J10-D10</f>
        <v>#REF!</v>
      </c>
      <c r="H10" s="204">
        <f>K10-E10</f>
        <v>0</v>
      </c>
      <c r="I10" s="201" t="e">
        <f>'МП и неМП'!#REF!</f>
        <v>#REF!</v>
      </c>
      <c r="J10" s="201" t="e">
        <f>I10-K10</f>
        <v>#REF!</v>
      </c>
      <c r="K10" s="201">
        <v>0</v>
      </c>
      <c r="L10" s="167">
        <v>51954.030000000013</v>
      </c>
      <c r="M10" s="167" t="e">
        <f t="shared" ref="M10:M26" si="0">I10-L10</f>
        <v>#REF!</v>
      </c>
    </row>
    <row r="11" spans="1:13" s="101" customFormat="1" ht="31.5">
      <c r="A11" s="100">
        <v>71</v>
      </c>
      <c r="B11" s="127" t="s">
        <v>149</v>
      </c>
      <c r="C11" s="217">
        <v>175848.04</v>
      </c>
      <c r="D11" s="217">
        <v>174522.44</v>
      </c>
      <c r="E11" s="217">
        <v>1325.6</v>
      </c>
      <c r="F11" s="204" t="e">
        <f t="shared" ref="F11:F25" si="1">SUM(G11:H11)</f>
        <v>#REF!</v>
      </c>
      <c r="G11" s="204" t="e">
        <f t="shared" ref="G11:G26" si="2">J11-D11</f>
        <v>#REF!</v>
      </c>
      <c r="H11" s="204" t="e">
        <f t="shared" ref="H11:H26" si="3">K11-E11</f>
        <v>#REF!</v>
      </c>
      <c r="I11" s="201" t="e">
        <f>'МП и неМП'!#REF!</f>
        <v>#REF!</v>
      </c>
      <c r="J11" s="201" t="e">
        <f t="shared" ref="J11:J26" si="4">I11-K11</f>
        <v>#REF!</v>
      </c>
      <c r="K11" s="201" t="e">
        <f>'МП и неМП'!#REF!+'МП и неМП'!#REF!</f>
        <v>#REF!</v>
      </c>
      <c r="L11" s="167">
        <v>168325.18000000002</v>
      </c>
      <c r="M11" s="167" t="e">
        <f t="shared" si="0"/>
        <v>#REF!</v>
      </c>
    </row>
    <row r="12" spans="1:13" s="168" customFormat="1" ht="31.5">
      <c r="A12" s="100">
        <v>72</v>
      </c>
      <c r="B12" s="127" t="s">
        <v>511</v>
      </c>
      <c r="C12" s="217">
        <v>97927.72</v>
      </c>
      <c r="D12" s="217">
        <v>97927.72</v>
      </c>
      <c r="E12" s="217">
        <v>0</v>
      </c>
      <c r="F12" s="204" t="e">
        <f t="shared" si="1"/>
        <v>#REF!</v>
      </c>
      <c r="G12" s="204" t="e">
        <f t="shared" si="2"/>
        <v>#REF!</v>
      </c>
      <c r="H12" s="204">
        <f t="shared" si="3"/>
        <v>0</v>
      </c>
      <c r="I12" s="201" t="e">
        <f>'МП и неМП'!#REF!</f>
        <v>#REF!</v>
      </c>
      <c r="J12" s="201" t="e">
        <f t="shared" si="4"/>
        <v>#REF!</v>
      </c>
      <c r="K12" s="201">
        <v>0</v>
      </c>
      <c r="L12" s="167">
        <v>90738.28</v>
      </c>
      <c r="M12" s="167" t="e">
        <f t="shared" si="0"/>
        <v>#REF!</v>
      </c>
    </row>
    <row r="13" spans="1:13" s="168" customFormat="1" ht="31.5">
      <c r="A13" s="100">
        <v>73</v>
      </c>
      <c r="B13" s="127" t="s">
        <v>163</v>
      </c>
      <c r="C13" s="217">
        <v>58412.409999999996</v>
      </c>
      <c r="D13" s="217">
        <v>58412.409999999996</v>
      </c>
      <c r="E13" s="217">
        <v>0</v>
      </c>
      <c r="F13" s="204" t="e">
        <f t="shared" si="1"/>
        <v>#REF!</v>
      </c>
      <c r="G13" s="204" t="e">
        <f t="shared" si="2"/>
        <v>#REF!</v>
      </c>
      <c r="H13" s="204">
        <f t="shared" si="3"/>
        <v>0</v>
      </c>
      <c r="I13" s="201" t="e">
        <f>'МП и неМП'!#REF!</f>
        <v>#REF!</v>
      </c>
      <c r="J13" s="201" t="e">
        <f t="shared" si="4"/>
        <v>#REF!</v>
      </c>
      <c r="K13" s="201">
        <v>0</v>
      </c>
      <c r="L13" s="167">
        <v>55805.86</v>
      </c>
      <c r="M13" s="167" t="e">
        <f t="shared" si="0"/>
        <v>#REF!</v>
      </c>
    </row>
    <row r="14" spans="1:13" s="101" customFormat="1" ht="31.5">
      <c r="A14" s="375">
        <v>74</v>
      </c>
      <c r="B14" s="127" t="s">
        <v>1015</v>
      </c>
      <c r="C14" s="217">
        <v>58644.800000000003</v>
      </c>
      <c r="D14" s="217">
        <v>58644.800000000003</v>
      </c>
      <c r="E14" s="217">
        <v>0</v>
      </c>
      <c r="F14" s="204" t="e">
        <f t="shared" si="1"/>
        <v>#REF!</v>
      </c>
      <c r="G14" s="204" t="e">
        <f t="shared" si="2"/>
        <v>#REF!</v>
      </c>
      <c r="H14" s="204">
        <f t="shared" si="3"/>
        <v>0</v>
      </c>
      <c r="I14" s="201" t="e">
        <f>'МП и неМП'!#REF!</f>
        <v>#REF!</v>
      </c>
      <c r="J14" s="201" t="e">
        <f t="shared" si="4"/>
        <v>#REF!</v>
      </c>
      <c r="K14" s="201">
        <v>0</v>
      </c>
      <c r="L14" s="167">
        <v>54973.24</v>
      </c>
      <c r="M14" s="167" t="e">
        <f t="shared" si="0"/>
        <v>#REF!</v>
      </c>
    </row>
    <row r="15" spans="1:13" s="168" customFormat="1" ht="31.5">
      <c r="A15" s="375">
        <v>75</v>
      </c>
      <c r="B15" s="127" t="s">
        <v>209</v>
      </c>
      <c r="C15" s="217">
        <v>48367.58</v>
      </c>
      <c r="D15" s="217">
        <v>45423.92</v>
      </c>
      <c r="E15" s="217">
        <v>2943.66</v>
      </c>
      <c r="F15" s="204" t="e">
        <f t="shared" si="1"/>
        <v>#REF!</v>
      </c>
      <c r="G15" s="204" t="e">
        <f t="shared" si="2"/>
        <v>#REF!</v>
      </c>
      <c r="H15" s="204" t="e">
        <f t="shared" si="3"/>
        <v>#REF!</v>
      </c>
      <c r="I15" s="201" t="e">
        <f>'МП и неМП'!#REF!</f>
        <v>#REF!</v>
      </c>
      <c r="J15" s="201" t="e">
        <f t="shared" si="4"/>
        <v>#REF!</v>
      </c>
      <c r="K15" s="201" t="e">
        <f>'МП и неМП'!#REF!</f>
        <v>#REF!</v>
      </c>
      <c r="L15" s="167">
        <v>40893.54</v>
      </c>
      <c r="M15" s="167" t="e">
        <f t="shared" si="0"/>
        <v>#REF!</v>
      </c>
    </row>
    <row r="16" spans="1:13" s="168" customFormat="1" ht="31.5">
      <c r="A16" s="100">
        <v>76</v>
      </c>
      <c r="B16" s="127" t="s">
        <v>612</v>
      </c>
      <c r="C16" s="217">
        <v>18500.570000000003</v>
      </c>
      <c r="D16" s="217">
        <v>18500.570000000003</v>
      </c>
      <c r="E16" s="217">
        <v>0</v>
      </c>
      <c r="F16" s="204" t="e">
        <f t="shared" si="1"/>
        <v>#REF!</v>
      </c>
      <c r="G16" s="204" t="e">
        <f t="shared" si="2"/>
        <v>#REF!</v>
      </c>
      <c r="H16" s="204">
        <f t="shared" si="3"/>
        <v>0</v>
      </c>
      <c r="I16" s="201" t="e">
        <f>'МП и неМП'!#REF!</f>
        <v>#REF!</v>
      </c>
      <c r="J16" s="201" t="e">
        <f t="shared" si="4"/>
        <v>#REF!</v>
      </c>
      <c r="K16" s="201">
        <v>0</v>
      </c>
      <c r="L16" s="167">
        <v>18049.599999999999</v>
      </c>
      <c r="M16" s="167" t="e">
        <f t="shared" si="0"/>
        <v>#REF!</v>
      </c>
    </row>
    <row r="17" spans="1:13" s="101" customFormat="1" ht="31.5">
      <c r="A17" s="100">
        <v>77</v>
      </c>
      <c r="B17" s="127" t="s">
        <v>212</v>
      </c>
      <c r="C17" s="217">
        <v>90640.390000000014</v>
      </c>
      <c r="D17" s="217">
        <v>9527.2900000000081</v>
      </c>
      <c r="E17" s="217">
        <v>81113.100000000006</v>
      </c>
      <c r="F17" s="204" t="e">
        <f t="shared" si="1"/>
        <v>#REF!</v>
      </c>
      <c r="G17" s="204" t="e">
        <f t="shared" si="2"/>
        <v>#REF!</v>
      </c>
      <c r="H17" s="204" t="e">
        <f t="shared" si="3"/>
        <v>#REF!</v>
      </c>
      <c r="I17" s="201" t="e">
        <f>'МП и неМП'!#REF!</f>
        <v>#REF!</v>
      </c>
      <c r="J17" s="201" t="e">
        <f t="shared" si="4"/>
        <v>#REF!</v>
      </c>
      <c r="K17" s="201" t="e">
        <f>'МП и неМП'!#REF!+'МП и неМП'!#REF!</f>
        <v>#REF!</v>
      </c>
      <c r="L17" s="167">
        <v>86620.790000000008</v>
      </c>
      <c r="M17" s="167" t="e">
        <f t="shared" si="0"/>
        <v>#REF!</v>
      </c>
    </row>
    <row r="18" spans="1:13" s="101" customFormat="1" ht="31.5">
      <c r="A18" s="100">
        <v>78</v>
      </c>
      <c r="B18" s="127" t="s">
        <v>615</v>
      </c>
      <c r="C18" s="217">
        <v>21660.220000000005</v>
      </c>
      <c r="D18" s="217">
        <v>21660.220000000005</v>
      </c>
      <c r="E18" s="217">
        <v>0</v>
      </c>
      <c r="F18" s="204" t="e">
        <f t="shared" si="1"/>
        <v>#REF!</v>
      </c>
      <c r="G18" s="204" t="e">
        <f t="shared" si="2"/>
        <v>#REF!</v>
      </c>
      <c r="H18" s="204">
        <f t="shared" si="3"/>
        <v>0</v>
      </c>
      <c r="I18" s="201" t="e">
        <f>'МП и неМП'!#REF!</f>
        <v>#REF!</v>
      </c>
      <c r="J18" s="201" t="e">
        <f t="shared" si="4"/>
        <v>#REF!</v>
      </c>
      <c r="K18" s="201">
        <v>0</v>
      </c>
      <c r="L18" s="167">
        <v>20652.93</v>
      </c>
      <c r="M18" s="167" t="e">
        <f t="shared" si="0"/>
        <v>#REF!</v>
      </c>
    </row>
    <row r="19" spans="1:13" s="101" customFormat="1" ht="31.5">
      <c r="A19" s="100">
        <v>80</v>
      </c>
      <c r="B19" s="127" t="s">
        <v>176</v>
      </c>
      <c r="C19" s="217">
        <v>45969.890000000007</v>
      </c>
      <c r="D19" s="217">
        <v>44325.490000000005</v>
      </c>
      <c r="E19" s="217">
        <v>1644.4</v>
      </c>
      <c r="F19" s="204" t="e">
        <f t="shared" si="1"/>
        <v>#REF!</v>
      </c>
      <c r="G19" s="204" t="e">
        <f t="shared" si="2"/>
        <v>#REF!</v>
      </c>
      <c r="H19" s="204" t="e">
        <f t="shared" si="3"/>
        <v>#REF!</v>
      </c>
      <c r="I19" s="201" t="e">
        <f>'МП и неМП'!#REF!</f>
        <v>#REF!</v>
      </c>
      <c r="J19" s="201" t="e">
        <f t="shared" si="4"/>
        <v>#REF!</v>
      </c>
      <c r="K19" s="201" t="e">
        <f>'МП и неМП'!#REF!+'МП и неМП'!#REF!</f>
        <v>#REF!</v>
      </c>
      <c r="L19" s="167">
        <v>43178.430000000008</v>
      </c>
      <c r="M19" s="167" t="e">
        <f t="shared" si="0"/>
        <v>#REF!</v>
      </c>
    </row>
    <row r="20" spans="1:13" s="101" customFormat="1" ht="31.5">
      <c r="A20" s="100">
        <v>81</v>
      </c>
      <c r="B20" s="127" t="s">
        <v>179</v>
      </c>
      <c r="C20" s="217">
        <v>42631.65</v>
      </c>
      <c r="D20" s="217">
        <v>40730.76</v>
      </c>
      <c r="E20" s="217">
        <v>1900.8899999999999</v>
      </c>
      <c r="F20" s="204" t="e">
        <f t="shared" si="1"/>
        <v>#REF!</v>
      </c>
      <c r="G20" s="204" t="e">
        <f t="shared" si="2"/>
        <v>#REF!</v>
      </c>
      <c r="H20" s="204" t="e">
        <f t="shared" si="3"/>
        <v>#REF!</v>
      </c>
      <c r="I20" s="201" t="e">
        <f>'МП и неМП'!#REF!</f>
        <v>#REF!</v>
      </c>
      <c r="J20" s="201" t="e">
        <f t="shared" si="4"/>
        <v>#REF!</v>
      </c>
      <c r="K20" s="201" t="e">
        <f>'МП и неМП'!#REF!+'МП и неМП'!#REF!</f>
        <v>#REF!</v>
      </c>
      <c r="L20" s="167">
        <v>39182.71</v>
      </c>
      <c r="M20" s="167" t="e">
        <f t="shared" si="0"/>
        <v>#REF!</v>
      </c>
    </row>
    <row r="21" spans="1:13" s="101" customFormat="1" ht="36.75" customHeight="1">
      <c r="A21" s="100">
        <v>82</v>
      </c>
      <c r="B21" s="127" t="s">
        <v>181</v>
      </c>
      <c r="C21" s="217">
        <v>59042.680000000008</v>
      </c>
      <c r="D21" s="217">
        <v>56666.380000000005</v>
      </c>
      <c r="E21" s="217">
        <v>2376.3000000000002</v>
      </c>
      <c r="F21" s="204" t="e">
        <f t="shared" si="1"/>
        <v>#REF!</v>
      </c>
      <c r="G21" s="204" t="e">
        <f t="shared" si="2"/>
        <v>#REF!</v>
      </c>
      <c r="H21" s="204" t="e">
        <f t="shared" si="3"/>
        <v>#REF!</v>
      </c>
      <c r="I21" s="201" t="e">
        <f>'МП и неМП'!#REF!</f>
        <v>#REF!</v>
      </c>
      <c r="J21" s="201" t="e">
        <f t="shared" si="4"/>
        <v>#REF!</v>
      </c>
      <c r="K21" s="201" t="e">
        <f>'МП и неМП'!#REF!+'МП и неМП'!#REF!</f>
        <v>#REF!</v>
      </c>
      <c r="L21" s="167">
        <v>55289.7</v>
      </c>
      <c r="M21" s="167" t="e">
        <f t="shared" si="0"/>
        <v>#REF!</v>
      </c>
    </row>
    <row r="22" spans="1:13" s="168" customFormat="1" ht="31.5">
      <c r="A22" s="262">
        <v>83</v>
      </c>
      <c r="B22" s="127" t="s">
        <v>173</v>
      </c>
      <c r="C22" s="217">
        <v>63473.97</v>
      </c>
      <c r="D22" s="217">
        <v>63473.97</v>
      </c>
      <c r="E22" s="217">
        <v>0</v>
      </c>
      <c r="F22" s="204" t="e">
        <f t="shared" si="1"/>
        <v>#REF!</v>
      </c>
      <c r="G22" s="204" t="e">
        <f t="shared" si="2"/>
        <v>#REF!</v>
      </c>
      <c r="H22" s="204">
        <f t="shared" si="3"/>
        <v>0</v>
      </c>
      <c r="I22" s="201" t="e">
        <f>'МП и неМП'!#REF!</f>
        <v>#REF!</v>
      </c>
      <c r="J22" s="201" t="e">
        <f t="shared" si="4"/>
        <v>#REF!</v>
      </c>
      <c r="K22" s="201">
        <v>0</v>
      </c>
      <c r="L22" s="167">
        <v>60580.990000000005</v>
      </c>
      <c r="M22" s="167" t="e">
        <f t="shared" si="0"/>
        <v>#REF!</v>
      </c>
    </row>
    <row r="23" spans="1:13" s="168" customFormat="1" ht="31.5">
      <c r="A23" s="375">
        <v>84</v>
      </c>
      <c r="B23" s="127" t="s">
        <v>513</v>
      </c>
      <c r="C23" s="217">
        <v>94170.37000000001</v>
      </c>
      <c r="D23" s="217">
        <v>94170.37000000001</v>
      </c>
      <c r="E23" s="217">
        <v>0</v>
      </c>
      <c r="F23" s="204" t="e">
        <f t="shared" si="1"/>
        <v>#REF!</v>
      </c>
      <c r="G23" s="204" t="e">
        <f t="shared" si="2"/>
        <v>#REF!</v>
      </c>
      <c r="H23" s="204">
        <f t="shared" si="3"/>
        <v>0</v>
      </c>
      <c r="I23" s="201" t="e">
        <f>'МП и неМП'!#REF!</f>
        <v>#REF!</v>
      </c>
      <c r="J23" s="201" t="e">
        <f t="shared" si="4"/>
        <v>#REF!</v>
      </c>
      <c r="K23" s="201">
        <v>0</v>
      </c>
      <c r="L23" s="167">
        <v>88304.709999999992</v>
      </c>
      <c r="M23" s="167" t="e">
        <f t="shared" si="0"/>
        <v>#REF!</v>
      </c>
    </row>
    <row r="24" spans="1:13" s="101" customFormat="1" ht="47.25">
      <c r="A24" s="100">
        <v>85</v>
      </c>
      <c r="B24" s="127" t="s">
        <v>211</v>
      </c>
      <c r="C24" s="217">
        <v>20006.560000000001</v>
      </c>
      <c r="D24" s="217">
        <v>20006.560000000001</v>
      </c>
      <c r="E24" s="217">
        <v>0</v>
      </c>
      <c r="F24" s="204" t="e">
        <f t="shared" si="1"/>
        <v>#REF!</v>
      </c>
      <c r="G24" s="204" t="e">
        <f t="shared" si="2"/>
        <v>#REF!</v>
      </c>
      <c r="H24" s="204">
        <f t="shared" si="3"/>
        <v>0</v>
      </c>
      <c r="I24" s="201" t="e">
        <f>'МП и неМП'!#REF!</f>
        <v>#REF!</v>
      </c>
      <c r="J24" s="201" t="e">
        <f t="shared" si="4"/>
        <v>#REF!</v>
      </c>
      <c r="K24" s="201">
        <v>0</v>
      </c>
      <c r="L24" s="167">
        <v>19128.75</v>
      </c>
      <c r="M24" s="167" t="e">
        <f t="shared" si="0"/>
        <v>#REF!</v>
      </c>
    </row>
    <row r="25" spans="1:13" s="101" customFormat="1" ht="30" customHeight="1">
      <c r="A25" s="100" t="s">
        <v>641</v>
      </c>
      <c r="B25" s="127" t="s">
        <v>639</v>
      </c>
      <c r="C25" s="217">
        <v>25217.730000000003</v>
      </c>
      <c r="D25" s="217">
        <v>25217.730000000003</v>
      </c>
      <c r="E25" s="217">
        <v>0</v>
      </c>
      <c r="F25" s="204" t="e">
        <f t="shared" si="1"/>
        <v>#REF!</v>
      </c>
      <c r="G25" s="204" t="e">
        <f t="shared" si="2"/>
        <v>#REF!</v>
      </c>
      <c r="H25" s="204">
        <f t="shared" si="3"/>
        <v>0</v>
      </c>
      <c r="I25" s="201" t="e">
        <f>'МП и неМП'!#REF!</f>
        <v>#REF!</v>
      </c>
      <c r="J25" s="201" t="e">
        <f t="shared" si="4"/>
        <v>#REF!</v>
      </c>
      <c r="K25" s="201">
        <v>0</v>
      </c>
      <c r="L25" s="167">
        <v>22537.38</v>
      </c>
      <c r="M25" s="167" t="e">
        <f t="shared" si="0"/>
        <v>#REF!</v>
      </c>
    </row>
    <row r="26" spans="1:13" s="101" customFormat="1" ht="47.25">
      <c r="A26" s="375">
        <v>98</v>
      </c>
      <c r="B26" s="127" t="s">
        <v>607</v>
      </c>
      <c r="C26" s="217">
        <v>402328.43999999994</v>
      </c>
      <c r="D26" s="217">
        <v>389244.65999999992</v>
      </c>
      <c r="E26" s="217">
        <v>13083.78</v>
      </c>
      <c r="F26" s="204" t="e">
        <f>SUM(G26:H26)</f>
        <v>#REF!</v>
      </c>
      <c r="G26" s="204" t="e">
        <f t="shared" si="2"/>
        <v>#REF!</v>
      </c>
      <c r="H26" s="204" t="e">
        <f t="shared" si="3"/>
        <v>#REF!</v>
      </c>
      <c r="I26" s="201" t="e">
        <f>'МП и неМП'!#REF!</f>
        <v>#REF!</v>
      </c>
      <c r="J26" s="201" t="e">
        <f t="shared" si="4"/>
        <v>#REF!</v>
      </c>
      <c r="K26" s="201" t="e">
        <f>'МП и неМП'!#REF!+'МП и неМП'!#REF!</f>
        <v>#REF!</v>
      </c>
      <c r="L26" s="167">
        <v>77434.12000000001</v>
      </c>
      <c r="M26" s="167" t="e">
        <f t="shared" si="0"/>
        <v>#REF!</v>
      </c>
    </row>
    <row r="27" spans="1:13" s="167" customFormat="1" ht="15.75">
      <c r="A27" s="358"/>
      <c r="B27" s="205" t="s">
        <v>508</v>
      </c>
      <c r="C27" s="359">
        <v>1379366.33</v>
      </c>
      <c r="D27" s="359">
        <v>1274978.5999999999</v>
      </c>
      <c r="E27" s="359">
        <v>104387.73</v>
      </c>
      <c r="F27" s="360" t="e">
        <f>F10+F11+F12+F13+F14+F15+F16+F17+F18+F19+F20+F21+F22+F23+F24+F25+F26</f>
        <v>#REF!</v>
      </c>
      <c r="G27" s="360" t="e">
        <f>G10+G11+G12+G13+G14+G15+G16+G17+G18+G19+G20+G21+G22+G23+G24+G25+G26</f>
        <v>#REF!</v>
      </c>
      <c r="H27" s="360" t="e">
        <f>H10+H11+H12+H13+H14+H15+H16+H17+H18+H19+H20+H21+H22+H23+H24+H25+H26</f>
        <v>#REF!</v>
      </c>
      <c r="I27" s="361" t="e">
        <f>SUM(I10:I26)</f>
        <v>#REF!</v>
      </c>
      <c r="J27" s="361" t="e">
        <f>SUM(J10:J26)</f>
        <v>#REF!</v>
      </c>
      <c r="K27" s="361" t="e">
        <f>SUM(K10:K26)</f>
        <v>#REF!</v>
      </c>
      <c r="L27" s="167">
        <f>'ПРОВЕРКА прогр-непрогр'!C44</f>
        <v>1356452.5</v>
      </c>
      <c r="M27" s="167" t="e">
        <f>I27-L27</f>
        <v>#REF!</v>
      </c>
    </row>
    <row r="28" spans="1:13" s="169" customFormat="1" ht="15" customHeight="1">
      <c r="B28" s="196"/>
      <c r="C28" s="105"/>
      <c r="D28" s="105"/>
      <c r="E28" s="105"/>
      <c r="F28" s="197"/>
      <c r="G28" s="197"/>
      <c r="H28" s="197"/>
      <c r="I28" s="202"/>
      <c r="J28" s="202"/>
      <c r="K28" s="202"/>
    </row>
    <row r="29" spans="1:13" s="169" customFormat="1" ht="15" customHeight="1">
      <c r="B29" s="196"/>
      <c r="C29" s="105"/>
      <c r="D29" s="105"/>
      <c r="E29" s="105"/>
      <c r="F29" s="197"/>
      <c r="G29" s="197"/>
      <c r="H29" s="197"/>
      <c r="I29" s="202"/>
      <c r="J29" s="202"/>
      <c r="K29" s="202"/>
    </row>
    <row r="30" spans="1:13" s="169" customFormat="1" ht="15" customHeight="1">
      <c r="B30" s="196"/>
      <c r="C30" s="105"/>
      <c r="D30" s="105"/>
      <c r="E30" s="105"/>
      <c r="F30" s="197"/>
      <c r="G30" s="197"/>
      <c r="H30" s="197"/>
      <c r="I30" s="202"/>
      <c r="J30" s="202"/>
      <c r="K30" s="202"/>
    </row>
    <row r="31" spans="1:13" s="169" customFormat="1" ht="15" customHeight="1">
      <c r="B31" s="196"/>
      <c r="C31" s="105"/>
      <c r="D31" s="105"/>
      <c r="E31" s="105"/>
      <c r="F31" s="197"/>
      <c r="G31" s="197"/>
      <c r="H31" s="197"/>
      <c r="I31" s="202"/>
      <c r="J31" s="202"/>
      <c r="K31" s="202"/>
    </row>
    <row r="32" spans="1:13" ht="19.149999999999999" customHeight="1">
      <c r="B32" s="129" t="s">
        <v>587</v>
      </c>
      <c r="C32" s="132" t="e">
        <f>'ПРОВЕРКА прогр-непрогр'!#REF!</f>
        <v>#REF!</v>
      </c>
      <c r="D32" s="132"/>
      <c r="E32" s="132"/>
      <c r="F32" s="132">
        <f>'ПРОВЕРКА прогр-непрогр'!D44</f>
        <v>1041484.9900000001</v>
      </c>
      <c r="G32" s="132"/>
      <c r="H32" s="132"/>
      <c r="I32" s="132">
        <f>'ПРОВЕРКА прогр-непрогр'!C44</f>
        <v>1356452.5</v>
      </c>
      <c r="J32" s="132"/>
      <c r="K32" s="132"/>
    </row>
    <row r="33" spans="2:11" ht="19.149999999999999" customHeight="1">
      <c r="B33" s="129" t="s">
        <v>603</v>
      </c>
      <c r="C33" s="132">
        <v>0</v>
      </c>
      <c r="D33" s="132"/>
      <c r="E33" s="132"/>
      <c r="F33" s="132" t="e">
        <f>F27-F32</f>
        <v>#REF!</v>
      </c>
      <c r="G33" s="132"/>
      <c r="H33" s="132"/>
      <c r="I33" s="132" t="e">
        <f>I27-I32</f>
        <v>#REF!</v>
      </c>
      <c r="J33" s="132"/>
      <c r="K33" s="132"/>
    </row>
  </sheetData>
  <mergeCells count="9">
    <mergeCell ref="B4:K4"/>
    <mergeCell ref="B5:K5"/>
    <mergeCell ref="A7:A8"/>
    <mergeCell ref="B7:B8"/>
    <mergeCell ref="C7:C8"/>
    <mergeCell ref="D7:E7"/>
    <mergeCell ref="I7:I8"/>
    <mergeCell ref="J7:K7"/>
    <mergeCell ref="F7:H7"/>
  </mergeCells>
  <pageMargins left="0.35433070866141736" right="0.35433070866141736" top="0.62992125984251968" bottom="0.19685039370078741" header="0.27559055118110237" footer="0.15748031496062992"/>
  <pageSetup paperSize="9" scale="68" orientation="landscape" horizontalDpi="1200" verticalDpi="1200" r:id="rId1"/>
  <headerFooter differentFirst="1" alignWithMargins="0">
    <oddHeader>&amp;C&amp;"Times New Roman,обычный"&amp;P</oddHeader>
  </headerFooter>
  <rowBreaks count="1" manualBreakCount="1">
    <brk id="27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tabColor rgb="FFCCFFCC"/>
  </sheetPr>
  <dimension ref="A1:M35"/>
  <sheetViews>
    <sheetView showGridLines="0" view="pageBreakPreview" zoomScale="85" zoomScaleSheetLayoutView="85" workbookViewId="0">
      <pane xSplit="2" ySplit="9" topLeftCell="C25" activePane="bottomRight" state="frozen"/>
      <selection activeCell="C10" sqref="C10:E29"/>
      <selection pane="topRight" activeCell="C10" sqref="C10:E29"/>
      <selection pane="bottomLeft" activeCell="C10" sqref="C10:E29"/>
      <selection pane="bottomRight" activeCell="C10" sqref="C10:E29"/>
    </sheetView>
  </sheetViews>
  <sheetFormatPr defaultColWidth="6.26953125" defaultRowHeight="15" customHeight="1"/>
  <cols>
    <col min="1" max="1" width="6.26953125" style="97"/>
    <col min="2" max="2" width="40.1796875" style="97" customWidth="1"/>
    <col min="3" max="3" width="15.90625" style="106" customWidth="1"/>
    <col min="4" max="4" width="10" style="106" customWidth="1"/>
    <col min="5" max="5" width="9.90625" style="106" customWidth="1"/>
    <col min="6" max="6" width="8.90625" style="104" customWidth="1"/>
    <col min="7" max="7" width="9" style="104" customWidth="1"/>
    <col min="8" max="8" width="9.6328125" style="104" customWidth="1"/>
    <col min="9" max="9" width="11.36328125" style="117" customWidth="1"/>
    <col min="10" max="10" width="10.1796875" style="117" customWidth="1"/>
    <col min="11" max="11" width="10.7265625" style="117" customWidth="1"/>
    <col min="12" max="12" width="9.36328125" style="97" bestFit="1" customWidth="1"/>
    <col min="13" max="13" width="7.90625" style="97" customWidth="1"/>
    <col min="14" max="16384" width="6.26953125" style="97"/>
  </cols>
  <sheetData>
    <row r="1" spans="1:13" s="188" customFormat="1" ht="15.75">
      <c r="C1" s="189"/>
      <c r="F1" s="190"/>
      <c r="G1" s="190"/>
      <c r="H1" s="190"/>
      <c r="I1" s="198"/>
      <c r="J1" s="198"/>
      <c r="K1" s="199" t="s">
        <v>625</v>
      </c>
      <c r="L1" s="97"/>
      <c r="M1" s="97"/>
    </row>
    <row r="2" spans="1:13" s="188" customFormat="1" ht="15.75">
      <c r="C2" s="189"/>
      <c r="F2" s="190"/>
      <c r="G2" s="190"/>
      <c r="H2" s="190"/>
      <c r="I2" s="198"/>
      <c r="J2" s="198"/>
      <c r="K2" s="199" t="s">
        <v>593</v>
      </c>
      <c r="L2" s="97"/>
      <c r="M2" s="97"/>
    </row>
    <row r="3" spans="1:13" s="188" customFormat="1" ht="15.75">
      <c r="C3" s="189"/>
      <c r="F3" s="190"/>
      <c r="G3" s="190"/>
      <c r="H3" s="190"/>
      <c r="I3" s="198"/>
      <c r="J3" s="198"/>
      <c r="K3" s="199"/>
      <c r="L3" s="97"/>
      <c r="M3" s="97"/>
    </row>
    <row r="4" spans="1:13" ht="15" customHeight="1">
      <c r="B4" s="562" t="s">
        <v>626</v>
      </c>
      <c r="C4" s="562"/>
      <c r="D4" s="562"/>
      <c r="E4" s="562"/>
      <c r="F4" s="562"/>
      <c r="G4" s="562"/>
      <c r="H4" s="562"/>
      <c r="I4" s="562"/>
      <c r="J4" s="562"/>
      <c r="K4" s="562"/>
      <c r="L4" s="166"/>
      <c r="M4" s="166"/>
    </row>
    <row r="5" spans="1:13" ht="15" customHeight="1">
      <c r="B5" s="562" t="s">
        <v>1009</v>
      </c>
      <c r="C5" s="562"/>
      <c r="D5" s="562"/>
      <c r="E5" s="562"/>
      <c r="F5" s="562"/>
      <c r="G5" s="562"/>
      <c r="H5" s="562"/>
      <c r="I5" s="562"/>
      <c r="J5" s="562"/>
      <c r="K5" s="562"/>
      <c r="L5" s="166"/>
      <c r="M5" s="166"/>
    </row>
    <row r="6" spans="1:13" ht="15" customHeight="1">
      <c r="B6" s="98"/>
      <c r="C6" s="191"/>
      <c r="D6" s="192"/>
      <c r="E6" s="192"/>
      <c r="K6" s="200" t="s">
        <v>627</v>
      </c>
    </row>
    <row r="7" spans="1:13" ht="15.6" customHeight="1">
      <c r="A7" s="564" t="s">
        <v>617</v>
      </c>
      <c r="B7" s="543" t="s">
        <v>22</v>
      </c>
      <c r="C7" s="548" t="e">
        <f>'ПРОВЕРКА прогр-непрогр'!#REF!</f>
        <v>#REF!</v>
      </c>
      <c r="D7" s="551" t="s">
        <v>595</v>
      </c>
      <c r="E7" s="557"/>
      <c r="F7" s="555" t="s">
        <v>596</v>
      </c>
      <c r="G7" s="556"/>
      <c r="H7" s="558"/>
      <c r="I7" s="550" t="s">
        <v>838</v>
      </c>
      <c r="J7" s="566" t="s">
        <v>595</v>
      </c>
      <c r="K7" s="567"/>
    </row>
    <row r="8" spans="1:13" ht="94.5">
      <c r="A8" s="565"/>
      <c r="B8" s="543"/>
      <c r="C8" s="549"/>
      <c r="D8" s="342" t="s">
        <v>832</v>
      </c>
      <c r="E8" s="342" t="s">
        <v>597</v>
      </c>
      <c r="F8" s="147" t="s">
        <v>598</v>
      </c>
      <c r="G8" s="147" t="s">
        <v>833</v>
      </c>
      <c r="H8" s="147" t="s">
        <v>599</v>
      </c>
      <c r="I8" s="550"/>
      <c r="J8" s="148" t="s">
        <v>832</v>
      </c>
      <c r="K8" s="148" t="s">
        <v>597</v>
      </c>
      <c r="L8" s="130" t="s">
        <v>629</v>
      </c>
      <c r="M8" s="130" t="s">
        <v>91</v>
      </c>
    </row>
    <row r="9" spans="1:13" s="214" customFormat="1" ht="15" customHeight="1">
      <c r="A9" s="193">
        <v>1</v>
      </c>
      <c r="B9" s="193">
        <v>2</v>
      </c>
      <c r="C9" s="194">
        <v>3</v>
      </c>
      <c r="D9" s="194">
        <v>4</v>
      </c>
      <c r="E9" s="194">
        <v>5</v>
      </c>
      <c r="F9" s="195">
        <v>6</v>
      </c>
      <c r="G9" s="195">
        <v>7</v>
      </c>
      <c r="H9" s="195">
        <v>8</v>
      </c>
      <c r="I9" s="203">
        <v>9</v>
      </c>
      <c r="J9" s="203">
        <v>10</v>
      </c>
      <c r="K9" s="203">
        <v>11</v>
      </c>
    </row>
    <row r="10" spans="1:13" s="101" customFormat="1" ht="15.75">
      <c r="A10" s="100">
        <v>70</v>
      </c>
      <c r="B10" s="127" t="s">
        <v>159</v>
      </c>
      <c r="C10" s="217">
        <v>57808.100000000006</v>
      </c>
      <c r="D10" s="217">
        <v>57808.100000000006</v>
      </c>
      <c r="E10" s="217">
        <v>0</v>
      </c>
      <c r="F10" s="204">
        <f>SUM(G10:H10)</f>
        <v>127.11999999999534</v>
      </c>
      <c r="G10" s="204">
        <f>J10-D10</f>
        <v>127.11999999999534</v>
      </c>
      <c r="H10" s="204">
        <f>K10-E10</f>
        <v>0</v>
      </c>
      <c r="I10" s="201">
        <f>'МП и неМП'!E644</f>
        <v>57935.22</v>
      </c>
      <c r="J10" s="201">
        <f>I10-K10</f>
        <v>57935.22</v>
      </c>
      <c r="K10" s="201">
        <v>0</v>
      </c>
      <c r="L10" s="167">
        <f>'ПРОВЕРКА прогр-непрогр'!F27</f>
        <v>57935.22</v>
      </c>
      <c r="M10" s="167">
        <f>I10-L10</f>
        <v>0</v>
      </c>
    </row>
    <row r="11" spans="1:13" s="101" customFormat="1" ht="31.5">
      <c r="A11" s="100">
        <v>71</v>
      </c>
      <c r="B11" s="127" t="s">
        <v>149</v>
      </c>
      <c r="C11" s="217">
        <v>180566.16</v>
      </c>
      <c r="D11" s="217">
        <v>179291.28</v>
      </c>
      <c r="E11" s="217">
        <v>1274.8800000000001</v>
      </c>
      <c r="F11" s="204">
        <f t="shared" ref="F11:F26" si="0">SUM(G11:H11)</f>
        <v>973.13000000001034</v>
      </c>
      <c r="G11" s="204">
        <f>J11-D11</f>
        <v>851.98000000001048</v>
      </c>
      <c r="H11" s="204">
        <f>K11-E11</f>
        <v>121.14999999999986</v>
      </c>
      <c r="I11" s="201">
        <f>'МП и неМП'!E665</f>
        <v>181539.29</v>
      </c>
      <c r="J11" s="201">
        <f>I11-K11</f>
        <v>180143.26</v>
      </c>
      <c r="K11" s="201">
        <f>'МП и неМП'!E677+'МП и неМП'!E680</f>
        <v>1396.03</v>
      </c>
      <c r="L11" s="167">
        <f>'ПРОВЕРКА прогр-непрогр'!F28</f>
        <v>181539.29</v>
      </c>
      <c r="M11" s="167">
        <f t="shared" ref="M11:M30" si="1">I11-L11</f>
        <v>0</v>
      </c>
    </row>
    <row r="12" spans="1:13" s="168" customFormat="1" ht="31.5">
      <c r="A12" s="100">
        <v>72</v>
      </c>
      <c r="B12" s="127" t="s">
        <v>511</v>
      </c>
      <c r="C12" s="217">
        <v>97765.31</v>
      </c>
      <c r="D12" s="217">
        <v>97765.31</v>
      </c>
      <c r="E12" s="217">
        <v>0</v>
      </c>
      <c r="F12" s="204">
        <f t="shared" si="0"/>
        <v>414.18000000000757</v>
      </c>
      <c r="G12" s="204">
        <f t="shared" ref="G12:H26" si="2">J12-D12</f>
        <v>414.18000000000757</v>
      </c>
      <c r="H12" s="204">
        <f t="shared" si="2"/>
        <v>0</v>
      </c>
      <c r="I12" s="201">
        <f>'МП и неМП'!E688</f>
        <v>98179.49</v>
      </c>
      <c r="J12" s="201">
        <f t="shared" ref="J12:J26" si="3">I12-K12</f>
        <v>98179.49</v>
      </c>
      <c r="K12" s="201">
        <v>0</v>
      </c>
      <c r="L12" s="167">
        <f>'ПРОВЕРКА прогр-непрогр'!F29</f>
        <v>98179.49</v>
      </c>
      <c r="M12" s="167">
        <f t="shared" si="1"/>
        <v>0</v>
      </c>
    </row>
    <row r="13" spans="1:13" s="168" customFormat="1" ht="31.5">
      <c r="A13" s="100">
        <v>73</v>
      </c>
      <c r="B13" s="127" t="s">
        <v>163</v>
      </c>
      <c r="C13" s="217">
        <v>61018.96</v>
      </c>
      <c r="D13" s="217">
        <v>61018.96</v>
      </c>
      <c r="E13" s="217">
        <v>0</v>
      </c>
      <c r="F13" s="204">
        <f t="shared" si="0"/>
        <v>-141.74000000000524</v>
      </c>
      <c r="G13" s="204">
        <f t="shared" si="2"/>
        <v>-141.74000000000524</v>
      </c>
      <c r="H13" s="204">
        <f t="shared" si="2"/>
        <v>0</v>
      </c>
      <c r="I13" s="201">
        <f>'МП и неМП'!E697</f>
        <v>60877.219999999994</v>
      </c>
      <c r="J13" s="201">
        <f t="shared" si="3"/>
        <v>60877.219999999994</v>
      </c>
      <c r="K13" s="201">
        <v>0</v>
      </c>
      <c r="L13" s="167">
        <f>'ПРОВЕРКА прогр-непрогр'!F30</f>
        <v>60877.219999999994</v>
      </c>
      <c r="M13" s="167">
        <f t="shared" si="1"/>
        <v>0</v>
      </c>
    </row>
    <row r="14" spans="1:13" s="101" customFormat="1" ht="31.5">
      <c r="A14" s="100">
        <v>74</v>
      </c>
      <c r="B14" s="127" t="s">
        <v>1015</v>
      </c>
      <c r="C14" s="217">
        <v>52497.14</v>
      </c>
      <c r="D14" s="217">
        <v>52497.14</v>
      </c>
      <c r="E14" s="217">
        <v>0</v>
      </c>
      <c r="F14" s="204">
        <f t="shared" si="0"/>
        <v>214.85000000000582</v>
      </c>
      <c r="G14" s="204">
        <f t="shared" si="2"/>
        <v>214.85000000000582</v>
      </c>
      <c r="H14" s="204">
        <f t="shared" si="2"/>
        <v>0</v>
      </c>
      <c r="I14" s="201">
        <f>'МП и неМП'!E706</f>
        <v>52711.990000000005</v>
      </c>
      <c r="J14" s="201">
        <f t="shared" si="3"/>
        <v>52711.990000000005</v>
      </c>
      <c r="K14" s="201">
        <v>0</v>
      </c>
      <c r="L14" s="167">
        <f>'ПРОВЕРКА прогр-непрогр'!F31</f>
        <v>52711.990000000005</v>
      </c>
      <c r="M14" s="167">
        <f t="shared" si="1"/>
        <v>0</v>
      </c>
    </row>
    <row r="15" spans="1:13" s="168" customFormat="1" ht="31.5">
      <c r="A15" s="100">
        <v>75</v>
      </c>
      <c r="B15" s="127" t="s">
        <v>209</v>
      </c>
      <c r="C15" s="217">
        <v>44584.74</v>
      </c>
      <c r="D15" s="217">
        <v>41760.18</v>
      </c>
      <c r="E15" s="217">
        <v>2824.56</v>
      </c>
      <c r="F15" s="204">
        <f t="shared" si="0"/>
        <v>7400.380000000001</v>
      </c>
      <c r="G15" s="204">
        <f t="shared" si="2"/>
        <v>7250.5400000000009</v>
      </c>
      <c r="H15" s="204">
        <f t="shared" si="2"/>
        <v>149.83999999999969</v>
      </c>
      <c r="I15" s="201">
        <f>'МП и неМП'!E715</f>
        <v>51985.120000000003</v>
      </c>
      <c r="J15" s="201">
        <f t="shared" si="3"/>
        <v>49010.720000000001</v>
      </c>
      <c r="K15" s="201">
        <f>'МП и неМП'!E726</f>
        <v>2974.3999999999996</v>
      </c>
      <c r="L15" s="167">
        <f>'ПРОВЕРКА прогр-непрогр'!F32</f>
        <v>51985.120000000003</v>
      </c>
      <c r="M15" s="167">
        <f t="shared" si="1"/>
        <v>0</v>
      </c>
    </row>
    <row r="16" spans="1:13" s="168" customFormat="1" ht="31.5">
      <c r="A16" s="100">
        <v>76</v>
      </c>
      <c r="B16" s="127" t="s">
        <v>612</v>
      </c>
      <c r="C16" s="217">
        <v>19546.079999999998</v>
      </c>
      <c r="D16" s="217">
        <v>19546.079999999998</v>
      </c>
      <c r="E16" s="217">
        <v>0</v>
      </c>
      <c r="F16" s="204">
        <f t="shared" si="0"/>
        <v>787.93000000000029</v>
      </c>
      <c r="G16" s="204">
        <f t="shared" si="2"/>
        <v>787.93000000000029</v>
      </c>
      <c r="H16" s="204">
        <f t="shared" si="2"/>
        <v>0</v>
      </c>
      <c r="I16" s="201">
        <f>'МП и неМП'!E730</f>
        <v>20334.009999999998</v>
      </c>
      <c r="J16" s="201">
        <f t="shared" si="3"/>
        <v>20334.009999999998</v>
      </c>
      <c r="K16" s="201">
        <v>0</v>
      </c>
      <c r="L16" s="167">
        <f>'ПРОВЕРКА прогр-непрогр'!F33</f>
        <v>20334.009999999998</v>
      </c>
      <c r="M16" s="167">
        <f t="shared" si="1"/>
        <v>0</v>
      </c>
    </row>
    <row r="17" spans="1:13" s="101" customFormat="1" ht="31.5">
      <c r="A17" s="100">
        <v>77</v>
      </c>
      <c r="B17" s="127" t="s">
        <v>212</v>
      </c>
      <c r="C17" s="217">
        <v>85605.050000000017</v>
      </c>
      <c r="D17" s="217">
        <v>9701.7400000000052</v>
      </c>
      <c r="E17" s="217">
        <v>75903.310000000012</v>
      </c>
      <c r="F17" s="204">
        <f t="shared" si="0"/>
        <v>11856.739999999976</v>
      </c>
      <c r="G17" s="204">
        <f t="shared" si="2"/>
        <v>4433.0399999999936</v>
      </c>
      <c r="H17" s="204">
        <f t="shared" si="2"/>
        <v>7423.6999999999825</v>
      </c>
      <c r="I17" s="201">
        <f>'МП и неМП'!E742</f>
        <v>97461.79</v>
      </c>
      <c r="J17" s="201">
        <f t="shared" si="3"/>
        <v>14134.779999999999</v>
      </c>
      <c r="K17" s="201">
        <f>'МП и неМП'!E750+'МП и неМП'!E753</f>
        <v>83327.009999999995</v>
      </c>
      <c r="L17" s="167">
        <f>'ПРОВЕРКА прогр-непрогр'!F34</f>
        <v>97461.79</v>
      </c>
      <c r="M17" s="167">
        <f t="shared" si="1"/>
        <v>0</v>
      </c>
    </row>
    <row r="18" spans="1:13" s="101" customFormat="1" ht="31.5">
      <c r="A18" s="100">
        <v>78</v>
      </c>
      <c r="B18" s="127" t="s">
        <v>615</v>
      </c>
      <c r="C18" s="217">
        <v>22650.400000000001</v>
      </c>
      <c r="D18" s="217">
        <v>22650.400000000001</v>
      </c>
      <c r="E18" s="217">
        <v>0</v>
      </c>
      <c r="F18" s="204">
        <f t="shared" si="0"/>
        <v>6.0900000000001455</v>
      </c>
      <c r="G18" s="204">
        <f t="shared" si="2"/>
        <v>6.0900000000001455</v>
      </c>
      <c r="H18" s="204">
        <f t="shared" si="2"/>
        <v>0</v>
      </c>
      <c r="I18" s="201">
        <f>'МП и неМП'!E758</f>
        <v>22656.49</v>
      </c>
      <c r="J18" s="201">
        <f t="shared" si="3"/>
        <v>22656.49</v>
      </c>
      <c r="K18" s="201">
        <v>0</v>
      </c>
      <c r="L18" s="167">
        <f>'ПРОВЕРКА прогр-непрогр'!F35</f>
        <v>22656.49</v>
      </c>
      <c r="M18" s="167">
        <f t="shared" si="1"/>
        <v>0</v>
      </c>
    </row>
    <row r="19" spans="1:13" s="101" customFormat="1" ht="31.5">
      <c r="A19" s="100">
        <v>80</v>
      </c>
      <c r="B19" s="127" t="s">
        <v>176</v>
      </c>
      <c r="C19" s="217">
        <v>45880.810000000005</v>
      </c>
      <c r="D19" s="217">
        <v>44300.320000000007</v>
      </c>
      <c r="E19" s="217">
        <v>1580.49</v>
      </c>
      <c r="F19" s="204">
        <f t="shared" si="0"/>
        <v>1412.5499999999968</v>
      </c>
      <c r="G19" s="204">
        <f t="shared" si="2"/>
        <v>17.269999999996799</v>
      </c>
      <c r="H19" s="204">
        <f t="shared" si="2"/>
        <v>1395.28</v>
      </c>
      <c r="I19" s="201">
        <f>'МП и неМП'!E770</f>
        <v>47293.36</v>
      </c>
      <c r="J19" s="201">
        <f t="shared" si="3"/>
        <v>44317.590000000004</v>
      </c>
      <c r="K19" s="201">
        <f>'МП и неМП'!E778+'МП и неМП'!E781</f>
        <v>2975.77</v>
      </c>
      <c r="L19" s="167">
        <f>'ПРОВЕРКА прогр-непрогр'!F36</f>
        <v>47293.36</v>
      </c>
      <c r="M19" s="167">
        <f t="shared" si="1"/>
        <v>0</v>
      </c>
    </row>
    <row r="20" spans="1:13" s="101" customFormat="1" ht="31.5">
      <c r="A20" s="100">
        <v>81</v>
      </c>
      <c r="B20" s="127" t="s">
        <v>179</v>
      </c>
      <c r="C20" s="217">
        <v>42972.03</v>
      </c>
      <c r="D20" s="217">
        <v>41146.71</v>
      </c>
      <c r="E20" s="217">
        <v>1825.32</v>
      </c>
      <c r="F20" s="204">
        <f t="shared" si="0"/>
        <v>2180.3400000000065</v>
      </c>
      <c r="G20" s="204">
        <f t="shared" si="2"/>
        <v>759.28000000000611</v>
      </c>
      <c r="H20" s="204">
        <f t="shared" si="2"/>
        <v>1421.0600000000002</v>
      </c>
      <c r="I20" s="201">
        <f>'МП и неМП'!E784</f>
        <v>45152.37</v>
      </c>
      <c r="J20" s="201">
        <f t="shared" si="3"/>
        <v>41905.990000000005</v>
      </c>
      <c r="K20" s="201">
        <f>'МП и неМП'!E792+'МП и неМП'!E795</f>
        <v>3246.38</v>
      </c>
      <c r="L20" s="167">
        <f>'ПРОВЕРКА прогр-непрогр'!F37</f>
        <v>45152.37</v>
      </c>
      <c r="M20" s="167">
        <f t="shared" si="1"/>
        <v>0</v>
      </c>
    </row>
    <row r="21" spans="1:13" s="101" customFormat="1" ht="36.75" customHeight="1">
      <c r="A21" s="100">
        <v>82</v>
      </c>
      <c r="B21" s="127" t="s">
        <v>181</v>
      </c>
      <c r="C21" s="217">
        <v>61447.159999999996</v>
      </c>
      <c r="D21" s="217">
        <v>59165.74</v>
      </c>
      <c r="E21" s="217">
        <v>2281.42</v>
      </c>
      <c r="F21" s="204">
        <f t="shared" si="0"/>
        <v>2157.1199999999908</v>
      </c>
      <c r="G21" s="204">
        <f t="shared" si="2"/>
        <v>55.489999999990687</v>
      </c>
      <c r="H21" s="204">
        <f t="shared" si="2"/>
        <v>2101.63</v>
      </c>
      <c r="I21" s="201">
        <f>'МП и неМП'!E798</f>
        <v>63604.279999999992</v>
      </c>
      <c r="J21" s="201">
        <f t="shared" si="3"/>
        <v>59221.229999999989</v>
      </c>
      <c r="K21" s="201">
        <f>'МП и неМП'!E806+'МП и неМП'!E809</f>
        <v>4383.05</v>
      </c>
      <c r="L21" s="167">
        <f>'ПРОВЕРКА прогр-непрогр'!F38</f>
        <v>63604.279999999992</v>
      </c>
      <c r="M21" s="167">
        <f t="shared" si="1"/>
        <v>0</v>
      </c>
    </row>
    <row r="22" spans="1:13" s="168" customFormat="1" ht="31.5">
      <c r="A22" s="215">
        <v>83</v>
      </c>
      <c r="B22" s="127" t="s">
        <v>173</v>
      </c>
      <c r="C22" s="217">
        <v>65736.05</v>
      </c>
      <c r="D22" s="217">
        <v>65736.05</v>
      </c>
      <c r="E22" s="217">
        <v>0</v>
      </c>
      <c r="F22" s="204">
        <f t="shared" si="0"/>
        <v>-3.4400000000023283</v>
      </c>
      <c r="G22" s="204">
        <f t="shared" si="2"/>
        <v>-3.4400000000023283</v>
      </c>
      <c r="H22" s="204">
        <f t="shared" si="2"/>
        <v>0</v>
      </c>
      <c r="I22" s="201">
        <f>'МП и неМП'!E812</f>
        <v>65732.61</v>
      </c>
      <c r="J22" s="201">
        <f t="shared" si="3"/>
        <v>65732.61</v>
      </c>
      <c r="K22" s="201">
        <v>0</v>
      </c>
      <c r="L22" s="167">
        <f>'ПРОВЕРКА прогр-непрогр'!F39</f>
        <v>65732.61</v>
      </c>
      <c r="M22" s="167">
        <f t="shared" si="1"/>
        <v>0</v>
      </c>
    </row>
    <row r="23" spans="1:13" s="168" customFormat="1" ht="31.5">
      <c r="A23" s="100">
        <v>84</v>
      </c>
      <c r="B23" s="127" t="s">
        <v>513</v>
      </c>
      <c r="C23" s="217">
        <v>91013.42</v>
      </c>
      <c r="D23" s="217">
        <v>91013.42</v>
      </c>
      <c r="E23" s="217">
        <v>0</v>
      </c>
      <c r="F23" s="204">
        <f t="shared" si="0"/>
        <v>3814.2200000000012</v>
      </c>
      <c r="G23" s="204">
        <f t="shared" si="2"/>
        <v>3814.2200000000012</v>
      </c>
      <c r="H23" s="204">
        <f t="shared" si="2"/>
        <v>0</v>
      </c>
      <c r="I23" s="201">
        <f>'МП и неМП'!E823</f>
        <v>94827.64</v>
      </c>
      <c r="J23" s="201">
        <f t="shared" si="3"/>
        <v>94827.64</v>
      </c>
      <c r="K23" s="201">
        <v>0</v>
      </c>
      <c r="L23" s="167">
        <f>'ПРОВЕРКА прогр-непрогр'!F40</f>
        <v>94827.64</v>
      </c>
      <c r="M23" s="167">
        <f t="shared" si="1"/>
        <v>0</v>
      </c>
    </row>
    <row r="24" spans="1:13" s="101" customFormat="1" ht="47.25">
      <c r="A24" s="100">
        <v>85</v>
      </c>
      <c r="B24" s="127" t="s">
        <v>211</v>
      </c>
      <c r="C24" s="217">
        <v>20884.37</v>
      </c>
      <c r="D24" s="217">
        <v>20884.37</v>
      </c>
      <c r="E24" s="217">
        <v>0</v>
      </c>
      <c r="F24" s="204">
        <f t="shared" si="0"/>
        <v>-149.16999999999825</v>
      </c>
      <c r="G24" s="204">
        <f t="shared" si="2"/>
        <v>-149.16999999999825</v>
      </c>
      <c r="H24" s="204">
        <f t="shared" si="2"/>
        <v>0</v>
      </c>
      <c r="I24" s="201">
        <f>'МП и неМП'!E848</f>
        <v>20735.2</v>
      </c>
      <c r="J24" s="201">
        <f t="shared" si="3"/>
        <v>20735.2</v>
      </c>
      <c r="K24" s="201">
        <v>0</v>
      </c>
      <c r="L24" s="167">
        <f>'ПРОВЕРКА прогр-непрогр'!F41</f>
        <v>20735.2</v>
      </c>
      <c r="M24" s="167">
        <f t="shared" si="1"/>
        <v>0</v>
      </c>
    </row>
    <row r="25" spans="1:13" s="101" customFormat="1" ht="30" customHeight="1">
      <c r="A25" s="100" t="s">
        <v>641</v>
      </c>
      <c r="B25" s="127" t="s">
        <v>639</v>
      </c>
      <c r="C25" s="217">
        <v>19517.73</v>
      </c>
      <c r="D25" s="217">
        <v>19517.73</v>
      </c>
      <c r="E25" s="217">
        <v>0</v>
      </c>
      <c r="F25" s="204">
        <f t="shared" si="0"/>
        <v>535.5199999999968</v>
      </c>
      <c r="G25" s="204">
        <f t="shared" si="2"/>
        <v>535.5199999999968</v>
      </c>
      <c r="H25" s="204">
        <f t="shared" si="2"/>
        <v>0</v>
      </c>
      <c r="I25" s="201">
        <f>'МП и неМП'!E856</f>
        <v>20053.249999999996</v>
      </c>
      <c r="J25" s="201">
        <f t="shared" si="3"/>
        <v>20053.249999999996</v>
      </c>
      <c r="K25" s="201">
        <v>0</v>
      </c>
      <c r="L25" s="167">
        <f>'ПРОВЕРКА прогр-непрогр'!F42</f>
        <v>20053.249999999996</v>
      </c>
      <c r="M25" s="167">
        <f t="shared" si="1"/>
        <v>0</v>
      </c>
    </row>
    <row r="26" spans="1:13" s="101" customFormat="1" ht="47.25">
      <c r="A26" s="100">
        <v>98</v>
      </c>
      <c r="B26" s="127" t="s">
        <v>607</v>
      </c>
      <c r="C26" s="217">
        <v>66153.08</v>
      </c>
      <c r="D26" s="217">
        <v>56338.55</v>
      </c>
      <c r="E26" s="217">
        <v>9814.5300000000007</v>
      </c>
      <c r="F26" s="204">
        <f t="shared" si="0"/>
        <v>289220.08999999997</v>
      </c>
      <c r="G26" s="204">
        <f t="shared" si="2"/>
        <v>287111.96999999997</v>
      </c>
      <c r="H26" s="204">
        <f t="shared" si="2"/>
        <v>2108.119999999999</v>
      </c>
      <c r="I26" s="201">
        <f>'МП и неМП'!E870</f>
        <v>355373.17</v>
      </c>
      <c r="J26" s="201">
        <f t="shared" si="3"/>
        <v>343450.51999999996</v>
      </c>
      <c r="K26" s="201">
        <f>'МП и неМП'!E888+'МП и неМП'!E890</f>
        <v>11922.65</v>
      </c>
      <c r="L26" s="167">
        <f>'ПРОВЕРКА прогр-непрогр'!F43</f>
        <v>355373.17</v>
      </c>
      <c r="M26" s="167">
        <f t="shared" si="1"/>
        <v>0</v>
      </c>
    </row>
    <row r="27" spans="1:13" s="101" customFormat="1" ht="15.75">
      <c r="A27" s="100"/>
      <c r="B27" s="127" t="s">
        <v>962</v>
      </c>
      <c r="C27" s="217">
        <v>1035646.5900000002</v>
      </c>
      <c r="D27" s="217">
        <v>940142.08000000007</v>
      </c>
      <c r="E27" s="217">
        <v>95504.510000000024</v>
      </c>
      <c r="F27" s="204">
        <f t="shared" ref="F27:K27" si="4">SUM(F10:F26)</f>
        <v>320805.90999999997</v>
      </c>
      <c r="G27" s="204">
        <f t="shared" si="4"/>
        <v>306085.12999999995</v>
      </c>
      <c r="H27" s="204">
        <f t="shared" si="4"/>
        <v>14720.779999999981</v>
      </c>
      <c r="I27" s="201">
        <f t="shared" si="4"/>
        <v>1356452.5</v>
      </c>
      <c r="J27" s="201">
        <f t="shared" si="4"/>
        <v>1246227.21</v>
      </c>
      <c r="K27" s="201">
        <f t="shared" si="4"/>
        <v>110225.29</v>
      </c>
      <c r="L27" s="167">
        <f>SUM(L10:L26)</f>
        <v>1356452.5</v>
      </c>
      <c r="M27" s="167"/>
    </row>
    <row r="28" spans="1:13" s="101" customFormat="1" ht="15.75">
      <c r="A28" s="100"/>
      <c r="B28" s="127" t="s">
        <v>850</v>
      </c>
      <c r="C28" s="217">
        <v>214753.97</v>
      </c>
      <c r="D28" s="217">
        <v>214753.97</v>
      </c>
      <c r="E28" s="217">
        <v>0</v>
      </c>
      <c r="F28" s="204">
        <f>SUM(G28:H28)</f>
        <v>-214753.97</v>
      </c>
      <c r="G28" s="204">
        <f>J28-D28</f>
        <v>-214753.97</v>
      </c>
      <c r="H28" s="204">
        <f>K28-E28</f>
        <v>0</v>
      </c>
      <c r="I28" s="201">
        <f>'ПРОВЕРКА прогр-непрогр'!F45</f>
        <v>0</v>
      </c>
      <c r="J28" s="201">
        <f>'МП и неМП'!E895</f>
        <v>0</v>
      </c>
      <c r="K28" s="201">
        <v>0</v>
      </c>
      <c r="L28" s="167">
        <f>'ПРОВЕРКА прогр-непрогр'!F45</f>
        <v>0</v>
      </c>
      <c r="M28" s="167">
        <f t="shared" si="1"/>
        <v>0</v>
      </c>
    </row>
    <row r="29" spans="1:13" s="167" customFormat="1" ht="15.75">
      <c r="A29" s="187"/>
      <c r="B29" s="205" t="s">
        <v>508</v>
      </c>
      <c r="C29" s="217">
        <v>1250400.5600000003</v>
      </c>
      <c r="D29" s="217">
        <v>1154896.05</v>
      </c>
      <c r="E29" s="217">
        <v>95504.510000000024</v>
      </c>
      <c r="F29" s="204">
        <f>SUM(F10:F28)</f>
        <v>426857.85</v>
      </c>
      <c r="G29" s="204">
        <f>SUM(G10:G28)</f>
        <v>397416.28999999992</v>
      </c>
      <c r="H29" s="204">
        <f>SUM(H10:H28)</f>
        <v>29441.559999999961</v>
      </c>
      <c r="I29" s="201">
        <f>I28+I27</f>
        <v>1356452.5</v>
      </c>
      <c r="J29" s="201">
        <f>J28+J27</f>
        <v>1246227.21</v>
      </c>
      <c r="K29" s="201">
        <f>K28+K27</f>
        <v>110225.29</v>
      </c>
      <c r="L29" s="167">
        <f>L27+L28</f>
        <v>1356452.5</v>
      </c>
      <c r="M29" s="167">
        <f>I29-L29</f>
        <v>0</v>
      </c>
    </row>
    <row r="30" spans="1:13" s="169" customFormat="1" ht="15" customHeight="1">
      <c r="B30" s="196"/>
      <c r="C30" s="105"/>
      <c r="D30" s="105"/>
      <c r="E30" s="105"/>
      <c r="F30" s="197"/>
      <c r="G30" s="197"/>
      <c r="H30" s="197"/>
      <c r="I30" s="202"/>
      <c r="J30" s="202"/>
      <c r="K30" s="202">
        <f>K29-K26-212.7-9</f>
        <v>98080.94</v>
      </c>
      <c r="M30" s="167">
        <f t="shared" si="1"/>
        <v>0</v>
      </c>
    </row>
    <row r="31" spans="1:13" s="169" customFormat="1" ht="15" customHeight="1">
      <c r="B31" s="196"/>
      <c r="C31" s="105"/>
      <c r="D31" s="105"/>
      <c r="E31" s="105"/>
      <c r="F31" s="197"/>
      <c r="G31" s="197"/>
      <c r="H31" s="197"/>
      <c r="I31" s="202"/>
      <c r="J31" s="202"/>
      <c r="K31" s="202"/>
    </row>
    <row r="32" spans="1:13" s="169" customFormat="1" ht="15" customHeight="1">
      <c r="B32" s="196"/>
      <c r="C32" s="105"/>
      <c r="D32" s="105"/>
      <c r="E32" s="105"/>
      <c r="F32" s="197"/>
      <c r="G32" s="197"/>
      <c r="H32" s="197"/>
      <c r="I32" s="202"/>
      <c r="J32" s="202"/>
      <c r="K32" s="202"/>
    </row>
    <row r="33" spans="2:11" s="169" customFormat="1" ht="15" customHeight="1">
      <c r="B33" s="196"/>
      <c r="C33" s="105"/>
      <c r="D33" s="105"/>
      <c r="E33" s="105"/>
      <c r="F33" s="197"/>
      <c r="G33" s="197"/>
      <c r="H33" s="197"/>
      <c r="I33" s="202"/>
      <c r="J33" s="202"/>
      <c r="K33" s="202"/>
    </row>
    <row r="34" spans="2:11" ht="19.149999999999999" customHeight="1">
      <c r="B34" s="129" t="s">
        <v>587</v>
      </c>
      <c r="C34" s="132">
        <f>'ПРОВЕРКА прогр-непрогр'!E44+'ПРОВЕРКА прогр-непрогр'!E45</f>
        <v>1330285.3799999999</v>
      </c>
      <c r="D34" s="132"/>
      <c r="E34" s="132"/>
      <c r="F34" s="132">
        <f>'ПРОВЕРКА прогр-непрогр'!G44+'ПРОВЕРКА прогр-непрогр'!G45</f>
        <v>26167.120000000054</v>
      </c>
      <c r="G34" s="132"/>
      <c r="H34" s="132"/>
      <c r="I34" s="132">
        <f>'ПРОВЕРКА прогр-непрогр'!F44+'ПРОВЕРКА прогр-непрогр'!F45</f>
        <v>1356452.5</v>
      </c>
      <c r="J34" s="132"/>
      <c r="K34" s="132"/>
    </row>
    <row r="35" spans="2:11" ht="19.149999999999999" customHeight="1">
      <c r="B35" s="129" t="s">
        <v>603</v>
      </c>
      <c r="C35" s="132">
        <f>C29-C34</f>
        <v>-79884.8199999996</v>
      </c>
      <c r="D35" s="132"/>
      <c r="E35" s="132"/>
      <c r="F35" s="132">
        <f>F29-F34</f>
        <v>400690.72999999992</v>
      </c>
      <c r="G35" s="132"/>
      <c r="H35" s="132"/>
      <c r="I35" s="132">
        <f>I29-I34</f>
        <v>0</v>
      </c>
      <c r="J35" s="132"/>
      <c r="K35" s="132"/>
    </row>
  </sheetData>
  <mergeCells count="9">
    <mergeCell ref="B4:K4"/>
    <mergeCell ref="B5:K5"/>
    <mergeCell ref="A7:A8"/>
    <mergeCell ref="B7:B8"/>
    <mergeCell ref="C7:C8"/>
    <mergeCell ref="D7:E7"/>
    <mergeCell ref="F7:H7"/>
    <mergeCell ref="I7:I8"/>
    <mergeCell ref="J7:K7"/>
  </mergeCells>
  <pageMargins left="0.35433070866141736" right="0.35433070866141736" top="0.62992125984251968" bottom="0.19685039370078741" header="0.27559055118110237" footer="0.15748031496062992"/>
  <pageSetup paperSize="9" scale="61" fitToHeight="0" orientation="landscape" horizontalDpi="1200" verticalDpi="1200" r:id="rId1"/>
  <headerFooter differentFirst="1" alignWithMargins="0">
    <oddHeader>&amp;C&amp;"Times New Roman,обычный"&amp;P</oddHeader>
  </headerFooter>
  <rowBreaks count="1" manualBreakCount="1">
    <brk id="29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FFFF99"/>
  </sheetPr>
  <dimension ref="A1:M35"/>
  <sheetViews>
    <sheetView showGridLines="0" view="pageBreakPreview" zoomScale="85" zoomScaleSheetLayoutView="85" workbookViewId="0">
      <pane xSplit="2" ySplit="9" topLeftCell="C25" activePane="bottomRight" state="frozen"/>
      <selection activeCell="C10" sqref="C10:E29"/>
      <selection pane="topRight" activeCell="C10" sqref="C10:E29"/>
      <selection pane="bottomLeft" activeCell="C10" sqref="C10:E29"/>
      <selection pane="bottomRight" activeCell="C10" sqref="C10:E29"/>
    </sheetView>
  </sheetViews>
  <sheetFormatPr defaultColWidth="6.26953125" defaultRowHeight="15" customHeight="1"/>
  <cols>
    <col min="1" max="1" width="6.26953125" style="97"/>
    <col min="2" max="2" width="40.1796875" style="97" customWidth="1"/>
    <col min="3" max="3" width="15.90625" style="106" customWidth="1"/>
    <col min="4" max="4" width="10" style="106" customWidth="1"/>
    <col min="5" max="5" width="9.90625" style="106" customWidth="1"/>
    <col min="6" max="6" width="8.90625" style="104" customWidth="1"/>
    <col min="7" max="7" width="9" style="104" customWidth="1"/>
    <col min="8" max="8" width="9.6328125" style="104" customWidth="1"/>
    <col min="9" max="9" width="11.36328125" style="117" customWidth="1"/>
    <col min="10" max="10" width="10.1796875" style="117" customWidth="1"/>
    <col min="11" max="11" width="10.7265625" style="117" customWidth="1"/>
    <col min="12" max="12" width="9.36328125" style="97" bestFit="1" customWidth="1"/>
    <col min="13" max="13" width="7.90625" style="97" customWidth="1"/>
    <col min="14" max="16384" width="6.26953125" style="97"/>
  </cols>
  <sheetData>
    <row r="1" spans="1:13" s="188" customFormat="1" ht="15.75">
      <c r="C1" s="189"/>
      <c r="F1" s="190"/>
      <c r="G1" s="190"/>
      <c r="H1" s="190"/>
      <c r="I1" s="198"/>
      <c r="J1" s="198"/>
      <c r="K1" s="199" t="s">
        <v>625</v>
      </c>
      <c r="L1" s="97"/>
      <c r="M1" s="97"/>
    </row>
    <row r="2" spans="1:13" s="188" customFormat="1" ht="15.75">
      <c r="C2" s="189"/>
      <c r="F2" s="190"/>
      <c r="G2" s="190"/>
      <c r="H2" s="190"/>
      <c r="I2" s="198"/>
      <c r="J2" s="198"/>
      <c r="K2" s="199" t="s">
        <v>593</v>
      </c>
      <c r="L2" s="97"/>
      <c r="M2" s="97"/>
    </row>
    <row r="3" spans="1:13" s="188" customFormat="1" ht="15.75">
      <c r="C3" s="189"/>
      <c r="F3" s="190"/>
      <c r="G3" s="190"/>
      <c r="H3" s="190"/>
      <c r="I3" s="198"/>
      <c r="J3" s="198"/>
      <c r="K3" s="199"/>
      <c r="L3" s="97"/>
      <c r="M3" s="97"/>
    </row>
    <row r="4" spans="1:13" ht="15" customHeight="1">
      <c r="B4" s="562" t="s">
        <v>626</v>
      </c>
      <c r="C4" s="562"/>
      <c r="D4" s="562"/>
      <c r="E4" s="562"/>
      <c r="F4" s="562"/>
      <c r="G4" s="562"/>
      <c r="H4" s="562"/>
      <c r="I4" s="562"/>
      <c r="J4" s="562"/>
      <c r="K4" s="562"/>
      <c r="L4" s="166"/>
      <c r="M4" s="166"/>
    </row>
    <row r="5" spans="1:13" ht="15" customHeight="1">
      <c r="B5" s="562" t="s">
        <v>1074</v>
      </c>
      <c r="C5" s="562"/>
      <c r="D5" s="562"/>
      <c r="E5" s="562"/>
      <c r="F5" s="562"/>
      <c r="G5" s="562"/>
      <c r="H5" s="562"/>
      <c r="I5" s="562"/>
      <c r="J5" s="562"/>
      <c r="K5" s="562"/>
      <c r="L5" s="166"/>
      <c r="M5" s="166"/>
    </row>
    <row r="6" spans="1:13" ht="15" customHeight="1">
      <c r="B6" s="98"/>
      <c r="C6" s="191"/>
      <c r="D6" s="192"/>
      <c r="E6" s="192"/>
      <c r="K6" s="200" t="s">
        <v>627</v>
      </c>
    </row>
    <row r="7" spans="1:13" ht="15.6" customHeight="1">
      <c r="A7" s="564" t="s">
        <v>617</v>
      </c>
      <c r="B7" s="543" t="s">
        <v>22</v>
      </c>
      <c r="C7" s="548" t="e">
        <f>'ПРОВЕРКА прогр-непрогр'!#REF!</f>
        <v>#REF!</v>
      </c>
      <c r="D7" s="551" t="s">
        <v>595</v>
      </c>
      <c r="E7" s="557"/>
      <c r="F7" s="555" t="s">
        <v>596</v>
      </c>
      <c r="G7" s="556"/>
      <c r="H7" s="558"/>
      <c r="I7" s="550" t="str">
        <f>'прил. 3 по неМП 2023'!I7:I8</f>
        <v>Проект бюджета города Ставрополя с учетом изменений</v>
      </c>
      <c r="J7" s="566" t="s">
        <v>595</v>
      </c>
      <c r="K7" s="567"/>
    </row>
    <row r="8" spans="1:13" ht="94.5">
      <c r="A8" s="565"/>
      <c r="B8" s="543"/>
      <c r="C8" s="549"/>
      <c r="D8" s="342" t="s">
        <v>832</v>
      </c>
      <c r="E8" s="342" t="s">
        <v>597</v>
      </c>
      <c r="F8" s="147" t="s">
        <v>598</v>
      </c>
      <c r="G8" s="147" t="s">
        <v>833</v>
      </c>
      <c r="H8" s="147" t="s">
        <v>599</v>
      </c>
      <c r="I8" s="550"/>
      <c r="J8" s="148" t="s">
        <v>832</v>
      </c>
      <c r="K8" s="148" t="s">
        <v>597</v>
      </c>
      <c r="L8" s="130"/>
      <c r="M8" s="130"/>
    </row>
    <row r="9" spans="1:13" s="222" customFormat="1" ht="15" customHeight="1">
      <c r="A9" s="193">
        <v>1</v>
      </c>
      <c r="B9" s="193">
        <v>2</v>
      </c>
      <c r="C9" s="194">
        <v>3</v>
      </c>
      <c r="D9" s="194">
        <v>4</v>
      </c>
      <c r="E9" s="194">
        <v>5</v>
      </c>
      <c r="F9" s="195">
        <v>6</v>
      </c>
      <c r="G9" s="195">
        <v>7</v>
      </c>
      <c r="H9" s="195">
        <v>8</v>
      </c>
      <c r="I9" s="203">
        <v>9</v>
      </c>
      <c r="J9" s="203">
        <v>10</v>
      </c>
      <c r="K9" s="203">
        <v>11</v>
      </c>
    </row>
    <row r="10" spans="1:13" s="101" customFormat="1" ht="15.75">
      <c r="A10" s="100">
        <v>70</v>
      </c>
      <c r="B10" s="127" t="s">
        <v>159</v>
      </c>
      <c r="C10" s="217">
        <v>57808.100000000006</v>
      </c>
      <c r="D10" s="217">
        <v>57808.100000000006</v>
      </c>
      <c r="E10" s="217">
        <v>0</v>
      </c>
      <c r="F10" s="204">
        <f>SUM(G10:H10)</f>
        <v>-1176.760000000002</v>
      </c>
      <c r="G10" s="204">
        <f>J10-D10</f>
        <v>-1176.760000000002</v>
      </c>
      <c r="H10" s="204">
        <f>K10-E10</f>
        <v>0</v>
      </c>
      <c r="I10" s="201">
        <f>'ПРОВЕРКА прогр-непрогр'!I27</f>
        <v>56631.340000000004</v>
      </c>
      <c r="J10" s="201">
        <f>I10-K10</f>
        <v>56631.340000000004</v>
      </c>
      <c r="K10" s="201">
        <v>0</v>
      </c>
      <c r="L10" s="167">
        <f>'ПРОВЕРКА прогр-непрогр'!I27</f>
        <v>56631.340000000004</v>
      </c>
      <c r="M10" s="167">
        <f>I10-L10</f>
        <v>0</v>
      </c>
    </row>
    <row r="11" spans="1:13" s="101" customFormat="1" ht="31.5">
      <c r="A11" s="100">
        <v>71</v>
      </c>
      <c r="B11" s="127" t="s">
        <v>149</v>
      </c>
      <c r="C11" s="217">
        <v>180566.16</v>
      </c>
      <c r="D11" s="217">
        <v>179291.28</v>
      </c>
      <c r="E11" s="217">
        <v>1274.8800000000001</v>
      </c>
      <c r="F11" s="204">
        <f t="shared" ref="F11:F28" si="0">SUM(G11:H11)</f>
        <v>1261.1600000000092</v>
      </c>
      <c r="G11" s="204">
        <f>J11-D11</f>
        <v>1140.0100000000093</v>
      </c>
      <c r="H11" s="204">
        <f t="shared" ref="G11:H28" si="1">K11-E11</f>
        <v>121.14999999999986</v>
      </c>
      <c r="I11" s="201">
        <f>'ПРОВЕРКА прогр-непрогр'!I28</f>
        <v>181827.32</v>
      </c>
      <c r="J11" s="201">
        <f t="shared" ref="J11:J28" si="2">I11-K11</f>
        <v>180431.29</v>
      </c>
      <c r="K11" s="201">
        <f>'МП и неМП'!F677+'МП и неМП'!F680</f>
        <v>1396.03</v>
      </c>
      <c r="L11" s="167">
        <f>'ПРОВЕРКА прогр-непрогр'!I28</f>
        <v>181827.32</v>
      </c>
      <c r="M11" s="167">
        <f t="shared" ref="M11:M29" si="3">I11-L11</f>
        <v>0</v>
      </c>
    </row>
    <row r="12" spans="1:13" s="168" customFormat="1" ht="31.5">
      <c r="A12" s="100">
        <v>72</v>
      </c>
      <c r="B12" s="127" t="s">
        <v>511</v>
      </c>
      <c r="C12" s="217">
        <v>97765.31</v>
      </c>
      <c r="D12" s="217">
        <v>97765.31</v>
      </c>
      <c r="E12" s="217">
        <v>0</v>
      </c>
      <c r="F12" s="204">
        <f t="shared" si="0"/>
        <v>467.20000000001164</v>
      </c>
      <c r="G12" s="204">
        <f t="shared" si="1"/>
        <v>467.20000000001164</v>
      </c>
      <c r="H12" s="204">
        <f t="shared" si="1"/>
        <v>0</v>
      </c>
      <c r="I12" s="201">
        <f>'ПРОВЕРКА прогр-непрогр'!I29</f>
        <v>98232.510000000009</v>
      </c>
      <c r="J12" s="201">
        <f t="shared" si="2"/>
        <v>98232.510000000009</v>
      </c>
      <c r="K12" s="201">
        <v>0</v>
      </c>
      <c r="L12" s="167">
        <f>'ПРОВЕРКА прогр-непрогр'!I29</f>
        <v>98232.510000000009</v>
      </c>
      <c r="M12" s="167">
        <f t="shared" si="3"/>
        <v>0</v>
      </c>
    </row>
    <row r="13" spans="1:13" s="168" customFormat="1" ht="31.5">
      <c r="A13" s="100">
        <v>73</v>
      </c>
      <c r="B13" s="127" t="s">
        <v>163</v>
      </c>
      <c r="C13" s="217">
        <v>61018.96</v>
      </c>
      <c r="D13" s="217">
        <v>61018.96</v>
      </c>
      <c r="E13" s="217">
        <v>0</v>
      </c>
      <c r="F13" s="204">
        <f t="shared" si="0"/>
        <v>-141.75</v>
      </c>
      <c r="G13" s="204">
        <f t="shared" si="1"/>
        <v>-141.75</v>
      </c>
      <c r="H13" s="204">
        <f t="shared" si="1"/>
        <v>0</v>
      </c>
      <c r="I13" s="201">
        <f>'ПРОВЕРКА прогр-непрогр'!I30</f>
        <v>60877.21</v>
      </c>
      <c r="J13" s="201">
        <f t="shared" si="2"/>
        <v>60877.21</v>
      </c>
      <c r="K13" s="201">
        <v>0</v>
      </c>
      <c r="L13" s="167">
        <f>'ПРОВЕРКА прогр-непрогр'!I30</f>
        <v>60877.21</v>
      </c>
      <c r="M13" s="167">
        <f t="shared" si="3"/>
        <v>0</v>
      </c>
    </row>
    <row r="14" spans="1:13" s="101" customFormat="1" ht="31.5">
      <c r="A14" s="100">
        <v>74</v>
      </c>
      <c r="B14" s="127" t="s">
        <v>1015</v>
      </c>
      <c r="C14" s="217">
        <v>52496.84</v>
      </c>
      <c r="D14" s="217">
        <v>52496.84</v>
      </c>
      <c r="E14" s="217">
        <v>0</v>
      </c>
      <c r="F14" s="204">
        <f t="shared" si="0"/>
        <v>246.64000000000669</v>
      </c>
      <c r="G14" s="204">
        <f t="shared" si="1"/>
        <v>246.64000000000669</v>
      </c>
      <c r="H14" s="204">
        <f t="shared" si="1"/>
        <v>0</v>
      </c>
      <c r="I14" s="201">
        <f>'ПРОВЕРКА прогр-непрогр'!I31</f>
        <v>52743.48</v>
      </c>
      <c r="J14" s="201">
        <f t="shared" si="2"/>
        <v>52743.48</v>
      </c>
      <c r="K14" s="201">
        <v>0</v>
      </c>
      <c r="L14" s="167">
        <f>'ПРОВЕРКА прогр-непрогр'!I31</f>
        <v>52743.48</v>
      </c>
      <c r="M14" s="167">
        <f t="shared" si="3"/>
        <v>0</v>
      </c>
    </row>
    <row r="15" spans="1:13" s="168" customFormat="1" ht="31.5">
      <c r="A15" s="100">
        <v>75</v>
      </c>
      <c r="B15" s="127" t="s">
        <v>209</v>
      </c>
      <c r="C15" s="217">
        <v>44584.74</v>
      </c>
      <c r="D15" s="217">
        <v>41760.18</v>
      </c>
      <c r="E15" s="217">
        <v>2824.56</v>
      </c>
      <c r="F15" s="204">
        <f t="shared" si="0"/>
        <v>7450.2599999999984</v>
      </c>
      <c r="G15" s="204">
        <f t="shared" si="1"/>
        <v>7300.4199999999983</v>
      </c>
      <c r="H15" s="204">
        <f t="shared" si="1"/>
        <v>149.83999999999969</v>
      </c>
      <c r="I15" s="201">
        <f>'ПРОВЕРКА прогр-непрогр'!I32</f>
        <v>52035</v>
      </c>
      <c r="J15" s="201">
        <f t="shared" si="2"/>
        <v>49060.6</v>
      </c>
      <c r="K15" s="201">
        <f>'МП и неМП'!F726</f>
        <v>2974.3999999999996</v>
      </c>
      <c r="L15" s="167">
        <f>'ПРОВЕРКА прогр-непрогр'!I32</f>
        <v>52035</v>
      </c>
      <c r="M15" s="167">
        <f t="shared" si="3"/>
        <v>0</v>
      </c>
    </row>
    <row r="16" spans="1:13" s="168" customFormat="1" ht="31.5">
      <c r="A16" s="100">
        <v>76</v>
      </c>
      <c r="B16" s="127" t="s">
        <v>612</v>
      </c>
      <c r="C16" s="217">
        <v>19546.079999999998</v>
      </c>
      <c r="D16" s="217">
        <v>19546.079999999998</v>
      </c>
      <c r="E16" s="217">
        <v>0</v>
      </c>
      <c r="F16" s="204">
        <f t="shared" si="0"/>
        <v>799.61999999999898</v>
      </c>
      <c r="G16" s="204">
        <f t="shared" si="1"/>
        <v>799.61999999999898</v>
      </c>
      <c r="H16" s="204">
        <f t="shared" si="1"/>
        <v>0</v>
      </c>
      <c r="I16" s="201">
        <f>'ПРОВЕРКА прогр-непрогр'!I33</f>
        <v>20345.699999999997</v>
      </c>
      <c r="J16" s="201">
        <f t="shared" si="2"/>
        <v>20345.699999999997</v>
      </c>
      <c r="K16" s="201">
        <v>0</v>
      </c>
      <c r="L16" s="167">
        <f>'ПРОВЕРКА прогр-непрогр'!I33</f>
        <v>20345.699999999997</v>
      </c>
      <c r="M16" s="167">
        <f t="shared" si="3"/>
        <v>0</v>
      </c>
    </row>
    <row r="17" spans="1:13" s="101" customFormat="1" ht="31.5">
      <c r="A17" s="100">
        <v>77</v>
      </c>
      <c r="B17" s="127" t="s">
        <v>212</v>
      </c>
      <c r="C17" s="217">
        <v>85605.85</v>
      </c>
      <c r="D17" s="217">
        <v>9701.7400000000052</v>
      </c>
      <c r="E17" s="217">
        <v>75904.11</v>
      </c>
      <c r="F17" s="204">
        <f t="shared" si="0"/>
        <v>7650.7099999999919</v>
      </c>
      <c r="G17" s="204">
        <f t="shared" si="1"/>
        <v>228.20999999999185</v>
      </c>
      <c r="H17" s="204">
        <f t="shared" si="1"/>
        <v>7422.5</v>
      </c>
      <c r="I17" s="201">
        <f>'ПРОВЕРКА прогр-непрогр'!I34</f>
        <v>93256.56</v>
      </c>
      <c r="J17" s="201">
        <f t="shared" si="2"/>
        <v>9929.9499999999971</v>
      </c>
      <c r="K17" s="201">
        <f>'МП и неМП'!F750+'МП и неМП'!F753</f>
        <v>83326.61</v>
      </c>
      <c r="L17" s="167">
        <f>'ПРОВЕРКА прогр-непрогр'!I34</f>
        <v>93256.56</v>
      </c>
      <c r="M17" s="167">
        <f t="shared" si="3"/>
        <v>0</v>
      </c>
    </row>
    <row r="18" spans="1:13" s="101" customFormat="1" ht="31.5">
      <c r="A18" s="100">
        <v>78</v>
      </c>
      <c r="B18" s="127" t="s">
        <v>615</v>
      </c>
      <c r="C18" s="217">
        <v>22650.400000000001</v>
      </c>
      <c r="D18" s="217">
        <v>22650.400000000001</v>
      </c>
      <c r="E18" s="217">
        <v>0</v>
      </c>
      <c r="F18" s="204">
        <f t="shared" si="0"/>
        <v>6.0900000000001455</v>
      </c>
      <c r="G18" s="204">
        <f t="shared" si="1"/>
        <v>6.0900000000001455</v>
      </c>
      <c r="H18" s="204">
        <f t="shared" si="1"/>
        <v>0</v>
      </c>
      <c r="I18" s="201">
        <f>'ПРОВЕРКА прогр-непрогр'!I35</f>
        <v>22656.49</v>
      </c>
      <c r="J18" s="201">
        <f t="shared" si="2"/>
        <v>22656.49</v>
      </c>
      <c r="K18" s="201">
        <v>0</v>
      </c>
      <c r="L18" s="167">
        <f>'ПРОВЕРКА прогр-непрогр'!I35</f>
        <v>22656.49</v>
      </c>
      <c r="M18" s="167">
        <f t="shared" si="3"/>
        <v>0</v>
      </c>
    </row>
    <row r="19" spans="1:13" s="101" customFormat="1" ht="31.5">
      <c r="A19" s="100">
        <v>80</v>
      </c>
      <c r="B19" s="127" t="s">
        <v>176</v>
      </c>
      <c r="C19" s="217">
        <v>45880.810000000005</v>
      </c>
      <c r="D19" s="217">
        <v>44300.320000000007</v>
      </c>
      <c r="E19" s="217">
        <v>1580.49</v>
      </c>
      <c r="F19" s="204">
        <f t="shared" si="0"/>
        <v>1436.0999999999924</v>
      </c>
      <c r="G19" s="204">
        <f t="shared" si="1"/>
        <v>40.819999999992433</v>
      </c>
      <c r="H19" s="204">
        <f t="shared" si="1"/>
        <v>1395.28</v>
      </c>
      <c r="I19" s="201">
        <f>'ПРОВЕРКА прогр-непрогр'!I36</f>
        <v>47316.909999999996</v>
      </c>
      <c r="J19" s="201">
        <f t="shared" si="2"/>
        <v>44341.14</v>
      </c>
      <c r="K19" s="201">
        <f>'МП и неМП'!F778+'МП и неМП'!F781</f>
        <v>2975.77</v>
      </c>
      <c r="L19" s="167">
        <f>'ПРОВЕРКА прогр-непрогр'!I36</f>
        <v>47316.909999999996</v>
      </c>
      <c r="M19" s="167">
        <f t="shared" si="3"/>
        <v>0</v>
      </c>
    </row>
    <row r="20" spans="1:13" s="101" customFormat="1" ht="31.5">
      <c r="A20" s="100">
        <v>81</v>
      </c>
      <c r="B20" s="127" t="s">
        <v>179</v>
      </c>
      <c r="C20" s="217">
        <v>42972.03</v>
      </c>
      <c r="D20" s="217">
        <v>41146.71</v>
      </c>
      <c r="E20" s="217">
        <v>1825.32</v>
      </c>
      <c r="F20" s="204">
        <f t="shared" si="0"/>
        <v>2115.8700000000053</v>
      </c>
      <c r="G20" s="204">
        <f t="shared" si="1"/>
        <v>694.81000000000495</v>
      </c>
      <c r="H20" s="204">
        <f t="shared" si="1"/>
        <v>1421.0600000000002</v>
      </c>
      <c r="I20" s="201">
        <f>'ПРОВЕРКА прогр-непрогр'!I37</f>
        <v>45087.9</v>
      </c>
      <c r="J20" s="201">
        <f t="shared" si="2"/>
        <v>41841.520000000004</v>
      </c>
      <c r="K20" s="201">
        <f>'МП и неМП'!F792+'МП и неМП'!F795</f>
        <v>3246.38</v>
      </c>
      <c r="L20" s="167">
        <f>'ПРОВЕРКА прогр-непрогр'!I37</f>
        <v>45087.9</v>
      </c>
      <c r="M20" s="167">
        <f t="shared" si="3"/>
        <v>0</v>
      </c>
    </row>
    <row r="21" spans="1:13" s="101" customFormat="1" ht="36.75" customHeight="1">
      <c r="A21" s="100">
        <v>82</v>
      </c>
      <c r="B21" s="127" t="s">
        <v>181</v>
      </c>
      <c r="C21" s="217">
        <v>61447.159999999996</v>
      </c>
      <c r="D21" s="217">
        <v>59165.74</v>
      </c>
      <c r="E21" s="217">
        <v>2281.42</v>
      </c>
      <c r="F21" s="204">
        <f t="shared" si="0"/>
        <v>2208.7999999999911</v>
      </c>
      <c r="G21" s="204">
        <f t="shared" si="1"/>
        <v>107.16999999999098</v>
      </c>
      <c r="H21" s="204">
        <f t="shared" si="1"/>
        <v>2101.63</v>
      </c>
      <c r="I21" s="201">
        <f>'ПРОВЕРКА прогр-непрогр'!I38</f>
        <v>63655.959999999992</v>
      </c>
      <c r="J21" s="201">
        <f t="shared" si="2"/>
        <v>59272.909999999989</v>
      </c>
      <c r="K21" s="201">
        <f>'МП и неМП'!F806+'МП и неМП'!F809</f>
        <v>4383.05</v>
      </c>
      <c r="L21" s="167">
        <f>'ПРОВЕРКА прогр-непрогр'!I38</f>
        <v>63655.959999999992</v>
      </c>
      <c r="M21" s="167">
        <f t="shared" si="3"/>
        <v>0</v>
      </c>
    </row>
    <row r="22" spans="1:13" s="168" customFormat="1" ht="31.5">
      <c r="A22" s="223">
        <v>83</v>
      </c>
      <c r="B22" s="127" t="s">
        <v>173</v>
      </c>
      <c r="C22" s="217">
        <v>65736.05</v>
      </c>
      <c r="D22" s="217">
        <v>65736.05</v>
      </c>
      <c r="E22" s="217">
        <v>0</v>
      </c>
      <c r="F22" s="204">
        <f t="shared" si="0"/>
        <v>39.710000000006403</v>
      </c>
      <c r="G22" s="204">
        <f t="shared" si="1"/>
        <v>39.710000000006403</v>
      </c>
      <c r="H22" s="204">
        <f t="shared" si="1"/>
        <v>0</v>
      </c>
      <c r="I22" s="201">
        <f>'ПРОВЕРКА прогр-непрогр'!I39</f>
        <v>65775.760000000009</v>
      </c>
      <c r="J22" s="201">
        <f t="shared" si="2"/>
        <v>65775.760000000009</v>
      </c>
      <c r="K22" s="201">
        <v>0</v>
      </c>
      <c r="L22" s="167">
        <f>'ПРОВЕРКА прогр-непрогр'!I39</f>
        <v>65775.760000000009</v>
      </c>
      <c r="M22" s="167">
        <f t="shared" si="3"/>
        <v>0</v>
      </c>
    </row>
    <row r="23" spans="1:13" s="168" customFormat="1" ht="31.5">
      <c r="A23" s="100">
        <v>84</v>
      </c>
      <c r="B23" s="127" t="s">
        <v>513</v>
      </c>
      <c r="C23" s="217">
        <v>91013.42</v>
      </c>
      <c r="D23" s="217">
        <v>91013.42</v>
      </c>
      <c r="E23" s="217">
        <v>0</v>
      </c>
      <c r="F23" s="204">
        <f t="shared" si="0"/>
        <v>66.479999999995925</v>
      </c>
      <c r="G23" s="204">
        <f t="shared" si="1"/>
        <v>66.479999999995925</v>
      </c>
      <c r="H23" s="204">
        <f t="shared" si="1"/>
        <v>0</v>
      </c>
      <c r="I23" s="201">
        <f>'ПРОВЕРКА прогр-непрогр'!I40</f>
        <v>91079.9</v>
      </c>
      <c r="J23" s="201">
        <f>I23-K23</f>
        <v>91079.9</v>
      </c>
      <c r="K23" s="201">
        <v>0</v>
      </c>
      <c r="L23" s="167">
        <f>'ПРОВЕРКА прогр-непрогр'!I40</f>
        <v>91079.9</v>
      </c>
      <c r="M23" s="167">
        <f t="shared" si="3"/>
        <v>0</v>
      </c>
    </row>
    <row r="24" spans="1:13" s="101" customFormat="1" ht="47.25">
      <c r="A24" s="100">
        <v>85</v>
      </c>
      <c r="B24" s="127" t="s">
        <v>211</v>
      </c>
      <c r="C24" s="217">
        <v>20884.37</v>
      </c>
      <c r="D24" s="217">
        <v>20884.37</v>
      </c>
      <c r="E24" s="217">
        <v>0</v>
      </c>
      <c r="F24" s="204">
        <f t="shared" si="0"/>
        <v>-149.16999999999825</v>
      </c>
      <c r="G24" s="204">
        <f t="shared" si="1"/>
        <v>-149.16999999999825</v>
      </c>
      <c r="H24" s="204">
        <f t="shared" si="1"/>
        <v>0</v>
      </c>
      <c r="I24" s="201">
        <f>'ПРОВЕРКА прогр-непрогр'!I41</f>
        <v>20735.2</v>
      </c>
      <c r="J24" s="201">
        <f t="shared" si="2"/>
        <v>20735.2</v>
      </c>
      <c r="K24" s="201">
        <v>0</v>
      </c>
      <c r="L24" s="167">
        <f>'ПРОВЕРКА прогр-непрогр'!I41</f>
        <v>20735.2</v>
      </c>
      <c r="M24" s="167">
        <f t="shared" si="3"/>
        <v>0</v>
      </c>
    </row>
    <row r="25" spans="1:13" s="101" customFormat="1" ht="30" customHeight="1">
      <c r="A25" s="100" t="s">
        <v>641</v>
      </c>
      <c r="B25" s="127" t="s">
        <v>639</v>
      </c>
      <c r="C25" s="217">
        <v>19518.03</v>
      </c>
      <c r="D25" s="217">
        <v>19518.03</v>
      </c>
      <c r="E25" s="217">
        <v>0</v>
      </c>
      <c r="F25" s="204">
        <f t="shared" si="0"/>
        <v>68.259999999998399</v>
      </c>
      <c r="G25" s="204">
        <f t="shared" si="1"/>
        <v>68.259999999998399</v>
      </c>
      <c r="H25" s="204">
        <f t="shared" si="1"/>
        <v>0</v>
      </c>
      <c r="I25" s="201">
        <f>'ПРОВЕРКА прогр-непрогр'!I42</f>
        <v>19586.289999999997</v>
      </c>
      <c r="J25" s="201">
        <f t="shared" si="2"/>
        <v>19586.289999999997</v>
      </c>
      <c r="K25" s="201">
        <v>0</v>
      </c>
      <c r="L25" s="167">
        <f>'ПРОВЕРКА прогр-непрогр'!I42</f>
        <v>19586.289999999997</v>
      </c>
      <c r="M25" s="167">
        <f t="shared" si="3"/>
        <v>0</v>
      </c>
    </row>
    <row r="26" spans="1:13" s="101" customFormat="1" ht="47.25">
      <c r="A26" s="100">
        <v>98</v>
      </c>
      <c r="B26" s="127" t="s">
        <v>607</v>
      </c>
      <c r="C26" s="217">
        <v>51884.250000000007</v>
      </c>
      <c r="D26" s="217">
        <v>42078.55</v>
      </c>
      <c r="E26" s="217">
        <v>9805.7000000000007</v>
      </c>
      <c r="F26" s="204">
        <f t="shared" si="0"/>
        <v>-2242.7900000000045</v>
      </c>
      <c r="G26" s="204">
        <f t="shared" si="1"/>
        <v>-4362.4500000000044</v>
      </c>
      <c r="H26" s="204">
        <f t="shared" si="1"/>
        <v>2119.66</v>
      </c>
      <c r="I26" s="201">
        <f>'ПРОВЕРКА прогр-непрогр'!I43</f>
        <v>49641.46</v>
      </c>
      <c r="J26" s="201">
        <f t="shared" si="2"/>
        <v>37716.1</v>
      </c>
      <c r="K26" s="201">
        <f>'МП и неМП'!F888+'МП и неМП'!F890</f>
        <v>11925.36</v>
      </c>
      <c r="L26" s="167">
        <f>'ПРОВЕРКА прогр-непрогр'!I43</f>
        <v>49641.46</v>
      </c>
      <c r="M26" s="167">
        <f t="shared" si="3"/>
        <v>0</v>
      </c>
    </row>
    <row r="27" spans="1:13" s="101" customFormat="1" ht="15.75">
      <c r="A27" s="100"/>
      <c r="B27" s="127" t="s">
        <v>962</v>
      </c>
      <c r="C27" s="217">
        <v>1021378.5600000003</v>
      </c>
      <c r="D27" s="217">
        <v>925882.08000000007</v>
      </c>
      <c r="E27" s="217">
        <v>95496.48000000001</v>
      </c>
      <c r="F27" s="204">
        <f t="shared" ref="F27:K27" si="4">SUM(F10:F26)</f>
        <v>20106.430000000004</v>
      </c>
      <c r="G27" s="204">
        <f t="shared" si="4"/>
        <v>5375.3100000000013</v>
      </c>
      <c r="H27" s="204">
        <f t="shared" si="4"/>
        <v>14731.119999999999</v>
      </c>
      <c r="I27" s="201">
        <f t="shared" si="4"/>
        <v>1041484.9900000001</v>
      </c>
      <c r="J27" s="201">
        <f t="shared" si="4"/>
        <v>931257.39</v>
      </c>
      <c r="K27" s="201">
        <f t="shared" si="4"/>
        <v>110227.6</v>
      </c>
      <c r="L27" s="167"/>
      <c r="M27" s="167"/>
    </row>
    <row r="28" spans="1:13" s="101" customFormat="1" ht="15.75">
      <c r="A28" s="100"/>
      <c r="B28" s="127" t="s">
        <v>850</v>
      </c>
      <c r="C28" s="217">
        <v>313479.35000000003</v>
      </c>
      <c r="D28" s="217">
        <v>313479.35000000003</v>
      </c>
      <c r="E28" s="217">
        <v>0</v>
      </c>
      <c r="F28" s="204">
        <f t="shared" si="0"/>
        <v>-150924.05000000005</v>
      </c>
      <c r="G28" s="204">
        <f t="shared" si="1"/>
        <v>-150924.05000000005</v>
      </c>
      <c r="H28" s="204">
        <v>0</v>
      </c>
      <c r="I28" s="201">
        <f>'ПРОВЕРКА прогр-непрогр'!I45</f>
        <v>162555.29999999999</v>
      </c>
      <c r="J28" s="201">
        <f t="shared" si="2"/>
        <v>162555.29999999999</v>
      </c>
      <c r="K28" s="201">
        <v>0</v>
      </c>
      <c r="L28" s="167">
        <f>'ПРОВЕРКА прогр-непрогр'!I45</f>
        <v>162555.29999999999</v>
      </c>
      <c r="M28" s="167"/>
    </row>
    <row r="29" spans="1:13" s="167" customFormat="1" ht="15.75">
      <c r="A29" s="187"/>
      <c r="B29" s="205" t="s">
        <v>508</v>
      </c>
      <c r="C29" s="217">
        <v>1334857.9100000004</v>
      </c>
      <c r="D29" s="217">
        <v>1239361.4300000002</v>
      </c>
      <c r="E29" s="217">
        <v>95496.48000000001</v>
      </c>
      <c r="F29" s="204">
        <f>SUM(F10:F28)</f>
        <v>-110711.19000000003</v>
      </c>
      <c r="G29" s="204">
        <f>SUM(G10:G28)</f>
        <v>-140173.43000000005</v>
      </c>
      <c r="H29" s="204">
        <f>SUM(H10:H28)</f>
        <v>29462.239999999998</v>
      </c>
      <c r="I29" s="201">
        <f>I27+I28</f>
        <v>1204040.29</v>
      </c>
      <c r="J29" s="201">
        <f>J27+J28</f>
        <v>1093812.69</v>
      </c>
      <c r="K29" s="201">
        <f>K27+K28</f>
        <v>110227.6</v>
      </c>
      <c r="L29" s="167">
        <f>SUM(L10:L28)</f>
        <v>1204040.29</v>
      </c>
      <c r="M29" s="167">
        <f t="shared" si="3"/>
        <v>0</v>
      </c>
    </row>
    <row r="30" spans="1:13" s="169" customFormat="1" ht="15" customHeight="1">
      <c r="B30" s="196"/>
      <c r="C30" s="105"/>
      <c r="D30" s="105"/>
      <c r="E30" s="105"/>
      <c r="F30" s="197"/>
      <c r="G30" s="197"/>
      <c r="H30" s="197"/>
      <c r="I30" s="202"/>
      <c r="J30" s="202"/>
      <c r="K30" s="202"/>
    </row>
    <row r="31" spans="1:13" s="169" customFormat="1" ht="15" customHeight="1">
      <c r="B31" s="196"/>
      <c r="C31" s="105"/>
      <c r="D31" s="105"/>
      <c r="E31" s="105"/>
      <c r="F31" s="197"/>
      <c r="G31" s="197"/>
      <c r="H31" s="197"/>
      <c r="I31" s="202"/>
      <c r="J31" s="202"/>
      <c r="K31" s="202"/>
    </row>
    <row r="32" spans="1:13" s="169" customFormat="1" ht="15" customHeight="1">
      <c r="B32" s="196"/>
      <c r="C32" s="105"/>
      <c r="D32" s="105"/>
      <c r="E32" s="105"/>
      <c r="F32" s="197"/>
      <c r="G32" s="197"/>
      <c r="H32" s="197"/>
      <c r="I32" s="202">
        <f>I29-I28</f>
        <v>1041484.99</v>
      </c>
      <c r="J32" s="202"/>
      <c r="K32" s="202"/>
    </row>
    <row r="33" spans="2:11" s="169" customFormat="1" ht="15" customHeight="1">
      <c r="B33" s="196"/>
      <c r="C33" s="105"/>
      <c r="D33" s="105"/>
      <c r="E33" s="105"/>
      <c r="F33" s="197"/>
      <c r="G33" s="197"/>
      <c r="H33" s="197"/>
      <c r="I33" s="202"/>
      <c r="J33" s="202"/>
      <c r="K33" s="202"/>
    </row>
    <row r="34" spans="2:11" ht="19.149999999999999" customHeight="1">
      <c r="B34" s="129" t="s">
        <v>587</v>
      </c>
      <c r="C34" s="132">
        <f>'ПРОВЕРКА прогр-непрогр'!H44</f>
        <v>1021378.5600000003</v>
      </c>
      <c r="D34" s="132"/>
      <c r="E34" s="132"/>
      <c r="F34" s="132">
        <f>'ПРОВЕРКА прогр-непрогр'!J44+'ПРОВЕРКА прогр-непрогр'!J45</f>
        <v>-130817.62000000023</v>
      </c>
      <c r="G34" s="132"/>
      <c r="H34" s="132"/>
      <c r="I34" s="132">
        <f>'ПРОВЕРКА прогр-непрогр'!I44+'ПРОВЕРКА прогр-непрогр'!I45</f>
        <v>1204040.29</v>
      </c>
      <c r="J34" s="132"/>
      <c r="K34" s="132"/>
    </row>
    <row r="35" spans="2:11" ht="19.149999999999999" customHeight="1">
      <c r="B35" s="129" t="s">
        <v>603</v>
      </c>
      <c r="C35" s="132">
        <v>0</v>
      </c>
      <c r="D35" s="132"/>
      <c r="E35" s="132"/>
      <c r="F35" s="132">
        <f>F29-F34</f>
        <v>20106.430000000197</v>
      </c>
      <c r="G35" s="132"/>
      <c r="H35" s="132"/>
      <c r="I35" s="132">
        <f>I29-I34</f>
        <v>0</v>
      </c>
      <c r="J35" s="132"/>
      <c r="K35" s="132"/>
    </row>
  </sheetData>
  <mergeCells count="9">
    <mergeCell ref="B4:K4"/>
    <mergeCell ref="B5:K5"/>
    <mergeCell ref="A7:A8"/>
    <mergeCell ref="B7:B8"/>
    <mergeCell ref="C7:C8"/>
    <mergeCell ref="D7:E7"/>
    <mergeCell ref="F7:H7"/>
    <mergeCell ref="I7:I8"/>
    <mergeCell ref="J7:K7"/>
  </mergeCells>
  <pageMargins left="0.35433070866141736" right="0.35433070866141736" top="0.62992125984251968" bottom="0.19685039370078741" header="0.27559055118110237" footer="0.15748031496062992"/>
  <pageSetup paperSize="9" scale="61" fitToHeight="0" orientation="landscape" horizontalDpi="1200" verticalDpi="1200" r:id="rId1"/>
  <headerFooter differentFirst="1" alignWithMargins="0">
    <oddHeader>&amp;C&amp;"Times New Roman,обычный"&amp;P</oddHeader>
  </headerFooter>
  <rowBreaks count="1" manualBreakCount="1">
    <brk id="29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B2:E19"/>
  <sheetViews>
    <sheetView workbookViewId="0">
      <selection activeCell="C20" sqref="C20"/>
    </sheetView>
  </sheetViews>
  <sheetFormatPr defaultRowHeight="18"/>
  <cols>
    <col min="2" max="2" width="40.54296875" customWidth="1"/>
  </cols>
  <sheetData>
    <row r="2" spans="2:5" ht="18.75">
      <c r="B2" s="410" t="s">
        <v>981</v>
      </c>
      <c r="C2" s="409" t="s">
        <v>982</v>
      </c>
    </row>
    <row r="3" spans="2:5">
      <c r="B3" s="182" t="s">
        <v>143</v>
      </c>
      <c r="C3" s="408" t="s">
        <v>157</v>
      </c>
    </row>
    <row r="4" spans="2:5" ht="32.25" customHeight="1">
      <c r="B4" s="182" t="s">
        <v>144</v>
      </c>
      <c r="C4" s="408" t="s">
        <v>152</v>
      </c>
      <c r="E4" s="182"/>
    </row>
    <row r="5" spans="2:5" ht="25.5">
      <c r="B5" s="182" t="s">
        <v>145</v>
      </c>
      <c r="C5" s="408" t="s">
        <v>153</v>
      </c>
      <c r="E5" s="182"/>
    </row>
    <row r="6" spans="2:5">
      <c r="B6" s="23" t="s">
        <v>146</v>
      </c>
      <c r="C6" s="408" t="s">
        <v>169</v>
      </c>
      <c r="E6" s="182"/>
    </row>
    <row r="7" spans="2:5" ht="25.5">
      <c r="B7" s="23" t="s">
        <v>147</v>
      </c>
      <c r="C7" s="408" t="s">
        <v>154</v>
      </c>
    </row>
    <row r="8" spans="2:5">
      <c r="B8" s="182" t="s">
        <v>1155</v>
      </c>
      <c r="C8" s="408" t="s">
        <v>1156</v>
      </c>
    </row>
    <row r="9" spans="2:5">
      <c r="B9" s="182" t="s">
        <v>130</v>
      </c>
      <c r="C9" s="408" t="s">
        <v>208</v>
      </c>
    </row>
    <row r="10" spans="2:5">
      <c r="B10" s="182" t="s">
        <v>131</v>
      </c>
      <c r="C10" s="408" t="s">
        <v>207</v>
      </c>
    </row>
    <row r="11" spans="2:5">
      <c r="B11" s="407" t="s">
        <v>216</v>
      </c>
      <c r="C11" s="408" t="s">
        <v>141</v>
      </c>
    </row>
    <row r="12" spans="2:5">
      <c r="B12" s="23" t="s">
        <v>132</v>
      </c>
      <c r="C12" s="408" t="s">
        <v>171</v>
      </c>
    </row>
    <row r="13" spans="2:5">
      <c r="B13" s="23" t="s">
        <v>133</v>
      </c>
      <c r="C13" s="408" t="s">
        <v>19</v>
      </c>
    </row>
    <row r="14" spans="2:5" ht="38.25">
      <c r="B14" s="182" t="s">
        <v>983</v>
      </c>
      <c r="C14" s="408" t="s">
        <v>142</v>
      </c>
    </row>
    <row r="15" spans="2:5">
      <c r="B15" s="182" t="s">
        <v>134</v>
      </c>
      <c r="C15" s="408" t="s">
        <v>167</v>
      </c>
    </row>
    <row r="16" spans="2:5" ht="38.25">
      <c r="B16" s="68" t="s">
        <v>492</v>
      </c>
      <c r="C16" s="408" t="s">
        <v>139</v>
      </c>
    </row>
    <row r="17" spans="2:3">
      <c r="B17" s="225" t="s">
        <v>136</v>
      </c>
      <c r="C17" s="408" t="s">
        <v>166</v>
      </c>
    </row>
    <row r="18" spans="2:3">
      <c r="B18" s="182" t="s">
        <v>137</v>
      </c>
      <c r="C18" s="408" t="s">
        <v>155</v>
      </c>
    </row>
    <row r="19" spans="2:3">
      <c r="B19" s="182" t="s">
        <v>138</v>
      </c>
      <c r="C19" s="408" t="s">
        <v>140</v>
      </c>
    </row>
  </sheetData>
  <pageMargins left="0.70866141732283472" right="0.70866141732283472" top="0.74803149606299213" bottom="0.74803149606299213" header="0.31496062992125984" footer="0.31496062992125984"/>
  <pageSetup paperSize="9" scale="12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P32"/>
  <sheetViews>
    <sheetView workbookViewId="0">
      <selection activeCell="L2" sqref="L2"/>
    </sheetView>
  </sheetViews>
  <sheetFormatPr defaultRowHeight="18"/>
  <cols>
    <col min="1" max="1" width="3.90625" customWidth="1"/>
    <col min="2" max="2" width="26.54296875" customWidth="1"/>
    <col min="3" max="5" width="3.26953125" customWidth="1"/>
    <col min="6" max="6" width="10.453125" customWidth="1"/>
    <col min="10" max="10" width="12.90625" customWidth="1"/>
    <col min="11" max="11" width="11.1796875" bestFit="1" customWidth="1"/>
    <col min="12" max="13" width="9.7265625" bestFit="1" customWidth="1"/>
    <col min="14" max="15" width="12.1796875" bestFit="1" customWidth="1"/>
  </cols>
  <sheetData>
    <row r="1" spans="1:15">
      <c r="G1">
        <v>2023</v>
      </c>
      <c r="H1">
        <v>2024</v>
      </c>
      <c r="I1">
        <v>2025</v>
      </c>
      <c r="J1">
        <v>2024</v>
      </c>
      <c r="K1">
        <v>2025</v>
      </c>
      <c r="L1" s="449"/>
      <c r="M1" s="449"/>
      <c r="N1" s="449"/>
      <c r="O1" s="449"/>
    </row>
    <row r="2" spans="1:15">
      <c r="G2" t="s">
        <v>1179</v>
      </c>
      <c r="J2" t="s">
        <v>1180</v>
      </c>
      <c r="K2" s="450"/>
      <c r="L2" s="450"/>
    </row>
    <row r="3" spans="1:15">
      <c r="G3" s="2" t="e">
        <f>SUM(G5:G28)</f>
        <v>#REF!</v>
      </c>
      <c r="H3" s="2" t="e">
        <f t="shared" ref="H3:L3" si="0">SUM(H5:H28)</f>
        <v>#REF!</v>
      </c>
      <c r="I3" s="2" t="e">
        <f t="shared" si="0"/>
        <v>#REF!</v>
      </c>
      <c r="J3" s="451" t="e">
        <f>SUM(J5:J28)</f>
        <v>#REF!</v>
      </c>
      <c r="K3" s="451" t="e">
        <f t="shared" si="0"/>
        <v>#REF!</v>
      </c>
      <c r="L3" s="451" t="e">
        <f t="shared" si="0"/>
        <v>#REF!</v>
      </c>
      <c r="M3" s="2"/>
    </row>
    <row r="4" spans="1:15">
      <c r="J4" s="451"/>
      <c r="K4" s="451"/>
      <c r="L4" s="451"/>
      <c r="M4" s="2"/>
      <c r="N4" s="2"/>
      <c r="O4" s="2"/>
    </row>
    <row r="5" spans="1:15" ht="38.25">
      <c r="A5">
        <v>1</v>
      </c>
      <c r="B5" s="182" t="s">
        <v>914</v>
      </c>
      <c r="C5" s="56">
        <v>601</v>
      </c>
      <c r="D5" s="56" t="s">
        <v>98</v>
      </c>
      <c r="E5" s="56">
        <v>13</v>
      </c>
      <c r="F5" s="56" t="s">
        <v>875</v>
      </c>
      <c r="G5" s="183" t="e">
        <f>'Вед-я стр-ра'!#REF!</f>
        <v>#REF!</v>
      </c>
      <c r="H5" s="183" t="e">
        <f>'Вед-я стр-ра'!#REF!</f>
        <v>#REF!</v>
      </c>
      <c r="I5" s="183" t="e">
        <f>'Вед-я стр-ра'!#REF!</f>
        <v>#REF!</v>
      </c>
      <c r="J5" s="452" t="e">
        <f>'Вед-я стр-ра'!#REF!</f>
        <v>#REF!</v>
      </c>
      <c r="K5" s="452" t="e">
        <f>'Вед-я стр-ра'!#REF!</f>
        <v>#REF!</v>
      </c>
      <c r="L5" s="452" t="e">
        <f>'Вед-я стр-ра'!#REF!</f>
        <v>#REF!</v>
      </c>
      <c r="M5" s="445"/>
      <c r="N5" s="445"/>
      <c r="O5" s="445"/>
    </row>
    <row r="6" spans="1:15" ht="25.5">
      <c r="A6">
        <f>A5+1</f>
        <v>2</v>
      </c>
      <c r="B6" s="23" t="s">
        <v>1077</v>
      </c>
      <c r="C6" s="37" t="s">
        <v>37</v>
      </c>
      <c r="D6" s="37" t="s">
        <v>13</v>
      </c>
      <c r="E6" s="57" t="s">
        <v>69</v>
      </c>
      <c r="F6" s="37" t="s">
        <v>968</v>
      </c>
      <c r="G6" s="183" t="e">
        <f>'Вед-я стр-ра'!#REF!</f>
        <v>#REF!</v>
      </c>
      <c r="H6" s="183" t="e">
        <f>'Вед-я стр-ра'!#REF!</f>
        <v>#REF!</v>
      </c>
      <c r="I6" s="183" t="e">
        <f>'Вед-я стр-ра'!#REF!</f>
        <v>#REF!</v>
      </c>
      <c r="J6" s="452" t="e">
        <f>'Вед-я стр-ра'!#REF!</f>
        <v>#REF!</v>
      </c>
      <c r="K6" s="452" t="e">
        <f>'Вед-я стр-ра'!#REF!</f>
        <v>#REF!</v>
      </c>
      <c r="L6" s="452" t="e">
        <f>'Вед-я стр-ра'!#REF!</f>
        <v>#REF!</v>
      </c>
      <c r="M6" s="445"/>
      <c r="N6" s="445"/>
      <c r="O6" s="445"/>
    </row>
    <row r="7" spans="1:15" ht="51">
      <c r="A7">
        <f>A6+1</f>
        <v>3</v>
      </c>
      <c r="B7" s="182" t="s">
        <v>974</v>
      </c>
      <c r="C7" s="36" t="s">
        <v>102</v>
      </c>
      <c r="D7" s="37" t="s">
        <v>104</v>
      </c>
      <c r="E7" s="37" t="s">
        <v>99</v>
      </c>
      <c r="F7" s="37" t="s">
        <v>975</v>
      </c>
      <c r="G7" s="183" t="e">
        <f>'Вед-я стр-ра'!#REF!</f>
        <v>#REF!</v>
      </c>
      <c r="H7" s="183" t="e">
        <f>'Вед-я стр-ра'!#REF!</f>
        <v>#REF!</v>
      </c>
      <c r="I7" s="183" t="e">
        <f>'Вед-я стр-ра'!#REF!</f>
        <v>#REF!</v>
      </c>
      <c r="J7" s="452" t="e">
        <f>'Вед-я стр-ра'!#REF!</f>
        <v>#REF!</v>
      </c>
      <c r="K7" s="452" t="e">
        <f>'Вед-я стр-ра'!#REF!</f>
        <v>#REF!</v>
      </c>
      <c r="L7" s="452" t="e">
        <f>'Вед-я стр-ра'!#REF!</f>
        <v>#REF!</v>
      </c>
      <c r="M7" s="445"/>
      <c r="N7" s="445"/>
      <c r="O7" s="445"/>
    </row>
    <row r="8" spans="1:15" ht="25.5">
      <c r="A8">
        <f>A6+1</f>
        <v>3</v>
      </c>
      <c r="B8" s="182" t="s">
        <v>1085</v>
      </c>
      <c r="C8" s="36" t="s">
        <v>102</v>
      </c>
      <c r="D8" s="37" t="s">
        <v>104</v>
      </c>
      <c r="E8" s="37" t="s">
        <v>99</v>
      </c>
      <c r="F8" s="37" t="s">
        <v>1118</v>
      </c>
      <c r="G8" s="183" t="e">
        <f>'Вед-я стр-ра'!#REF!</f>
        <v>#REF!</v>
      </c>
      <c r="H8" s="183" t="e">
        <f>'Вед-я стр-ра'!#REF!</f>
        <v>#REF!</v>
      </c>
      <c r="I8" s="183" t="e">
        <f>'Вед-я стр-ра'!#REF!</f>
        <v>#REF!</v>
      </c>
      <c r="J8" s="452" t="e">
        <f>'Вед-я стр-ра'!#REF!</f>
        <v>#REF!</v>
      </c>
      <c r="K8" s="452" t="e">
        <f>'Вед-я стр-ра'!#REF!</f>
        <v>#REF!</v>
      </c>
      <c r="L8" s="452" t="e">
        <f>'Вед-я стр-ра'!#REF!</f>
        <v>#REF!</v>
      </c>
      <c r="M8" s="444"/>
      <c r="N8" s="444"/>
      <c r="O8" s="444"/>
    </row>
    <row r="9" spans="1:15" ht="38.25">
      <c r="A9">
        <f t="shared" ref="A9:A32" si="1">A8+1</f>
        <v>4</v>
      </c>
      <c r="B9" s="182" t="s">
        <v>1120</v>
      </c>
      <c r="C9" s="36" t="s">
        <v>102</v>
      </c>
      <c r="D9" s="37" t="s">
        <v>104</v>
      </c>
      <c r="E9" s="37" t="s">
        <v>99</v>
      </c>
      <c r="F9" s="37" t="s">
        <v>1119</v>
      </c>
      <c r="G9" s="183" t="e">
        <f>'Вед-я стр-ра'!#REF!</f>
        <v>#REF!</v>
      </c>
      <c r="H9" s="183" t="e">
        <f>'Вед-я стр-ра'!#REF!</f>
        <v>#REF!</v>
      </c>
      <c r="I9" s="183" t="e">
        <f>'Вед-я стр-ра'!#REF!</f>
        <v>#REF!</v>
      </c>
      <c r="J9" s="452" t="e">
        <f>'Вед-я стр-ра'!#REF!</f>
        <v>#REF!</v>
      </c>
      <c r="K9" s="452" t="e">
        <f>'Вед-я стр-ра'!#REF!</f>
        <v>#REF!</v>
      </c>
      <c r="L9" s="452" t="e">
        <f>'Вед-я стр-ра'!#REF!</f>
        <v>#REF!</v>
      </c>
      <c r="M9" s="444"/>
      <c r="N9" s="444"/>
      <c r="O9" s="444"/>
    </row>
    <row r="10" spans="1:15" ht="51">
      <c r="A10">
        <f t="shared" si="1"/>
        <v>5</v>
      </c>
      <c r="B10" s="23" t="s">
        <v>1127</v>
      </c>
      <c r="C10" s="36" t="s">
        <v>102</v>
      </c>
      <c r="D10" s="37" t="s">
        <v>104</v>
      </c>
      <c r="E10" s="37" t="s">
        <v>99</v>
      </c>
      <c r="F10" s="37" t="s">
        <v>1126</v>
      </c>
      <c r="G10" s="183" t="e">
        <f>'Вед-я стр-ра'!#REF!</f>
        <v>#REF!</v>
      </c>
      <c r="H10" s="183" t="e">
        <f>'Вед-я стр-ра'!#REF!</f>
        <v>#REF!</v>
      </c>
      <c r="I10" s="183" t="e">
        <f>'Вед-я стр-ра'!#REF!</f>
        <v>#REF!</v>
      </c>
      <c r="J10" s="452">
        <v>0</v>
      </c>
      <c r="K10" s="452">
        <v>0</v>
      </c>
      <c r="L10" s="452">
        <v>0</v>
      </c>
      <c r="M10" s="444"/>
      <c r="N10" s="444"/>
      <c r="O10" s="444"/>
    </row>
    <row r="11" spans="1:15" ht="63.75">
      <c r="A11">
        <f t="shared" si="1"/>
        <v>6</v>
      </c>
      <c r="B11" s="182" t="s">
        <v>1079</v>
      </c>
      <c r="C11" s="36" t="s">
        <v>34</v>
      </c>
      <c r="D11" s="37" t="s">
        <v>104</v>
      </c>
      <c r="E11" s="37" t="s">
        <v>85</v>
      </c>
      <c r="F11" s="37" t="s">
        <v>1078</v>
      </c>
      <c r="G11" s="183" t="e">
        <f>'Вед-я стр-ра'!#REF!</f>
        <v>#REF!</v>
      </c>
      <c r="H11" s="183" t="e">
        <f>'Вед-я стр-ра'!#REF!</f>
        <v>#REF!</v>
      </c>
      <c r="I11" s="183" t="e">
        <f>'Вед-я стр-ра'!#REF!</f>
        <v>#REF!</v>
      </c>
      <c r="J11" s="452" t="e">
        <f>'Вед-я стр-ра'!#REF!</f>
        <v>#REF!</v>
      </c>
      <c r="K11" s="452" t="e">
        <f>'Вед-я стр-ра'!#REF!</f>
        <v>#REF!</v>
      </c>
      <c r="L11" s="452" t="e">
        <f>'Вед-я стр-ра'!#REF!</f>
        <v>#REF!</v>
      </c>
      <c r="M11" s="444"/>
      <c r="N11" s="444"/>
      <c r="O11" s="444"/>
    </row>
    <row r="12" spans="1:15">
      <c r="A12">
        <f t="shared" si="1"/>
        <v>7</v>
      </c>
      <c r="B12" s="182" t="s">
        <v>1181</v>
      </c>
      <c r="C12" s="36"/>
      <c r="D12" s="37"/>
      <c r="E12" s="37"/>
      <c r="F12" s="37" t="s">
        <v>1182</v>
      </c>
      <c r="G12" s="183" t="e">
        <f>'Вед-я стр-ра'!#REF!+'Вед-я стр-ра'!#REF!+'Вед-я стр-ра'!#REF!+'Вед-я стр-ра'!#REF!</f>
        <v>#REF!</v>
      </c>
      <c r="H12" s="183">
        <v>0</v>
      </c>
      <c r="I12" s="183">
        <v>0</v>
      </c>
      <c r="J12" s="452" t="e">
        <f>'Вед-я стр-ра'!#REF!+'Вед-я стр-ра'!#REF!+'Вед-я стр-ра'!#REF!+'Вед-я стр-ра'!#REF!</f>
        <v>#REF!</v>
      </c>
      <c r="K12" s="452">
        <v>0</v>
      </c>
      <c r="L12" s="452">
        <v>0</v>
      </c>
      <c r="M12" s="444"/>
      <c r="N12" s="444"/>
      <c r="O12" s="444"/>
    </row>
    <row r="13" spans="1:15" ht="38.25">
      <c r="A13">
        <f t="shared" si="1"/>
        <v>8</v>
      </c>
      <c r="B13" s="23" t="s">
        <v>1081</v>
      </c>
      <c r="C13" s="36" t="s">
        <v>34</v>
      </c>
      <c r="D13" s="37" t="s">
        <v>82</v>
      </c>
      <c r="E13" s="37" t="s">
        <v>98</v>
      </c>
      <c r="F13" s="37" t="s">
        <v>1080</v>
      </c>
      <c r="G13" s="183" t="e">
        <f>'Вед-я стр-ра'!#REF!</f>
        <v>#REF!</v>
      </c>
      <c r="H13" s="183" t="e">
        <f>'Вед-я стр-ра'!#REF!</f>
        <v>#REF!</v>
      </c>
      <c r="I13" s="183" t="e">
        <f>'Вед-я стр-ра'!#REF!</f>
        <v>#REF!</v>
      </c>
      <c r="J13" s="452" t="e">
        <f>'Вед-я стр-ра'!#REF!</f>
        <v>#REF!</v>
      </c>
      <c r="K13" s="452" t="e">
        <f>'Вед-я стр-ра'!#REF!</f>
        <v>#REF!</v>
      </c>
      <c r="L13" s="452" t="e">
        <f>'Вед-я стр-ра'!#REF!</f>
        <v>#REF!</v>
      </c>
      <c r="M13" s="444"/>
      <c r="N13" s="444"/>
      <c r="O13" s="444"/>
    </row>
    <row r="14" spans="1:15">
      <c r="A14">
        <f t="shared" si="1"/>
        <v>9</v>
      </c>
      <c r="B14" s="182" t="s">
        <v>1113</v>
      </c>
      <c r="C14" s="36" t="s">
        <v>34</v>
      </c>
      <c r="D14" s="37" t="s">
        <v>82</v>
      </c>
      <c r="E14" s="37" t="s">
        <v>98</v>
      </c>
      <c r="F14" s="37" t="s">
        <v>1112</v>
      </c>
      <c r="G14" s="183" t="e">
        <f>'Вед-я стр-ра'!#REF!</f>
        <v>#REF!</v>
      </c>
      <c r="H14" s="183" t="e">
        <f>'Вед-я стр-ра'!#REF!</f>
        <v>#REF!</v>
      </c>
      <c r="I14" s="183" t="e">
        <f>'Вед-я стр-ра'!#REF!</f>
        <v>#REF!</v>
      </c>
      <c r="J14" s="452" t="e">
        <f>'Вед-я стр-ра'!#REF!</f>
        <v>#REF!</v>
      </c>
      <c r="K14" s="452" t="e">
        <f>'Вед-я стр-ра'!#REF!</f>
        <v>#REF!</v>
      </c>
      <c r="L14" s="452" t="e">
        <f>'Вед-я стр-ра'!#REF!</f>
        <v>#REF!</v>
      </c>
      <c r="M14" s="183"/>
      <c r="N14" s="183"/>
      <c r="O14" s="183"/>
    </row>
    <row r="15" spans="1:15">
      <c r="A15">
        <v>10</v>
      </c>
      <c r="B15" s="182" t="s">
        <v>1144</v>
      </c>
      <c r="C15" s="36" t="s">
        <v>34</v>
      </c>
      <c r="D15" s="37" t="s">
        <v>82</v>
      </c>
      <c r="E15" s="37" t="s">
        <v>98</v>
      </c>
      <c r="F15" s="37" t="s">
        <v>1143</v>
      </c>
      <c r="G15" s="183">
        <v>0</v>
      </c>
      <c r="H15" s="183">
        <v>0</v>
      </c>
      <c r="I15" s="183">
        <v>0</v>
      </c>
      <c r="J15" s="453" t="e">
        <f>'Вед-я стр-ра'!#REF!</f>
        <v>#REF!</v>
      </c>
      <c r="K15" s="453" t="e">
        <f>'Вед-я стр-ра'!#REF!</f>
        <v>#REF!</v>
      </c>
      <c r="L15" s="453" t="e">
        <f>'Вед-я стр-ра'!#REF!</f>
        <v>#REF!</v>
      </c>
      <c r="M15" s="183"/>
      <c r="N15" s="183"/>
      <c r="O15" s="183"/>
    </row>
    <row r="16" spans="1:15" ht="51">
      <c r="A16">
        <v>11</v>
      </c>
      <c r="B16" s="182" t="s">
        <v>911</v>
      </c>
      <c r="C16" s="36"/>
      <c r="D16" s="37"/>
      <c r="E16" s="37"/>
      <c r="F16" s="37" t="s">
        <v>1183</v>
      </c>
      <c r="G16" s="183" t="e">
        <f>'Вед-я стр-ра'!#REF!+'Вед-я стр-ра'!#REF!</f>
        <v>#REF!</v>
      </c>
      <c r="H16" s="183" t="e">
        <f>'Вед-я стр-ра'!#REF!+'Вед-я стр-ра'!#REF!</f>
        <v>#REF!</v>
      </c>
      <c r="I16" s="183" t="e">
        <f>'Вед-я стр-ра'!#REF!+'Вед-я стр-ра'!#REF!</f>
        <v>#REF!</v>
      </c>
      <c r="J16" s="453" t="e">
        <f>'Вед-я стр-ра'!#REF!+'Вед-я стр-ра'!#REF!+'Вед-я стр-ра'!#REF!+'Вед-я стр-ра'!#REF!</f>
        <v>#REF!</v>
      </c>
      <c r="K16" s="453" t="e">
        <f>'Вед-я стр-ра'!#REF!+'Вед-я стр-ра'!#REF!+'Вед-я стр-ра'!#REF!+'Вед-я стр-ра'!#REF!</f>
        <v>#REF!</v>
      </c>
      <c r="L16" s="453" t="e">
        <f>'Вед-я стр-ра'!#REF!+'Вед-я стр-ра'!#REF!+'Вед-я стр-ра'!#REF!+'Вед-я стр-ра'!#REF!</f>
        <v>#REF!</v>
      </c>
      <c r="M16" s="183"/>
      <c r="N16" s="183"/>
      <c r="O16" s="183"/>
    </row>
    <row r="17" spans="1:16" ht="25.5">
      <c r="A17">
        <v>12</v>
      </c>
      <c r="B17" s="182" t="s">
        <v>1139</v>
      </c>
      <c r="C17" s="37" t="s">
        <v>19</v>
      </c>
      <c r="D17" s="37" t="s">
        <v>69</v>
      </c>
      <c r="E17" s="37" t="s">
        <v>33</v>
      </c>
      <c r="F17" s="37" t="s">
        <v>1138</v>
      </c>
      <c r="G17" s="183" t="e">
        <f>'Вед-я стр-ра'!#REF!+'Вед-я стр-ра'!#REF!</f>
        <v>#REF!</v>
      </c>
      <c r="H17" s="183" t="e">
        <f>'Вед-я стр-ра'!#REF!+'Вед-я стр-ра'!#REF!</f>
        <v>#REF!</v>
      </c>
      <c r="I17" s="183" t="e">
        <f>'Вед-я стр-ра'!#REF!+'Вед-я стр-ра'!#REF!</f>
        <v>#REF!</v>
      </c>
      <c r="J17" s="453" t="e">
        <f>'Вед-я стр-ра'!#REF!+'Вед-я стр-ра'!#REF!</f>
        <v>#REF!</v>
      </c>
      <c r="K17" s="453" t="e">
        <f>'Вед-я стр-ра'!#REF!+'Вед-я стр-ра'!#REF!</f>
        <v>#REF!</v>
      </c>
      <c r="L17" s="453" t="e">
        <f>'Вед-я стр-ра'!#REF!+'Вед-я стр-ра'!#REF!</f>
        <v>#REF!</v>
      </c>
      <c r="M17" s="183"/>
      <c r="N17" s="183"/>
      <c r="O17" s="183"/>
    </row>
    <row r="18" spans="1:16" ht="38.25">
      <c r="A18">
        <v>13</v>
      </c>
      <c r="B18" s="182" t="s">
        <v>991</v>
      </c>
      <c r="C18" s="36" t="s">
        <v>19</v>
      </c>
      <c r="D18" s="37" t="s">
        <v>69</v>
      </c>
      <c r="E18" s="37" t="s">
        <v>33</v>
      </c>
      <c r="F18" s="70" t="s">
        <v>992</v>
      </c>
      <c r="G18" s="183" t="e">
        <f>'Вед-я стр-ра'!#REF!</f>
        <v>#REF!</v>
      </c>
      <c r="H18" s="183" t="e">
        <f>'Вед-я стр-ра'!#REF!</f>
        <v>#REF!</v>
      </c>
      <c r="I18" s="183" t="e">
        <f>'Вед-я стр-ра'!#REF!</f>
        <v>#REF!</v>
      </c>
      <c r="J18" s="452">
        <v>0</v>
      </c>
      <c r="K18" s="452">
        <v>0</v>
      </c>
      <c r="L18" s="452">
        <v>0</v>
      </c>
      <c r="M18" s="69"/>
      <c r="N18" s="69"/>
      <c r="O18" s="69"/>
    </row>
    <row r="19" spans="1:16" ht="38.25">
      <c r="A19">
        <v>14</v>
      </c>
      <c r="B19" s="182" t="s">
        <v>1024</v>
      </c>
      <c r="C19" s="37" t="s">
        <v>19</v>
      </c>
      <c r="D19" s="37" t="s">
        <v>69</v>
      </c>
      <c r="E19" s="37" t="s">
        <v>33</v>
      </c>
      <c r="F19" s="37" t="s">
        <v>961</v>
      </c>
      <c r="G19" s="183" t="e">
        <f>'Вед-я стр-ра'!#REF!</f>
        <v>#REF!</v>
      </c>
      <c r="H19" s="183" t="e">
        <f>'Вед-я стр-ра'!#REF!</f>
        <v>#REF!</v>
      </c>
      <c r="I19" s="183" t="e">
        <f>'Вед-я стр-ра'!#REF!</f>
        <v>#REF!</v>
      </c>
      <c r="J19" s="453" t="e">
        <f>'Вед-я стр-ра'!#REF!</f>
        <v>#REF!</v>
      </c>
      <c r="K19" s="453" t="e">
        <f>'Вед-я стр-ра'!#REF!</f>
        <v>#REF!</v>
      </c>
      <c r="L19" s="453" t="e">
        <f>'Вед-я стр-ра'!#REF!</f>
        <v>#REF!</v>
      </c>
      <c r="M19" s="183"/>
      <c r="N19" s="183"/>
      <c r="O19" s="183"/>
    </row>
    <row r="20" spans="1:16" ht="63.75">
      <c r="A20">
        <f t="shared" si="1"/>
        <v>15</v>
      </c>
      <c r="B20" s="182" t="s">
        <v>1012</v>
      </c>
      <c r="C20" s="37" t="s">
        <v>19</v>
      </c>
      <c r="D20" s="37" t="s">
        <v>69</v>
      </c>
      <c r="E20" s="37" t="s">
        <v>33</v>
      </c>
      <c r="F20" s="37" t="s">
        <v>1013</v>
      </c>
      <c r="G20" s="183" t="e">
        <f>'Вед-я стр-ра'!#REF!</f>
        <v>#REF!</v>
      </c>
      <c r="H20" s="183" t="e">
        <f>'Вед-я стр-ра'!#REF!</f>
        <v>#REF!</v>
      </c>
      <c r="I20" s="183" t="e">
        <f>'Вед-я стр-ра'!#REF!</f>
        <v>#REF!</v>
      </c>
      <c r="J20" s="452" t="e">
        <f>'Вед-я стр-ра'!#REF!</f>
        <v>#REF!</v>
      </c>
      <c r="K20" s="452" t="e">
        <f>'Вед-я стр-ра'!#REF!</f>
        <v>#REF!</v>
      </c>
      <c r="L20" s="452" t="e">
        <f>'Вед-я стр-ра'!#REF!</f>
        <v>#REF!</v>
      </c>
      <c r="M20" s="69"/>
      <c r="N20" s="69"/>
      <c r="O20" s="69"/>
    </row>
    <row r="21" spans="1:16" ht="25.5">
      <c r="A21">
        <f t="shared" si="1"/>
        <v>16</v>
      </c>
      <c r="B21" s="182" t="s">
        <v>910</v>
      </c>
      <c r="C21" s="36" t="s">
        <v>19</v>
      </c>
      <c r="D21" s="37" t="s">
        <v>7</v>
      </c>
      <c r="E21" s="37" t="s">
        <v>85</v>
      </c>
      <c r="F21" s="37" t="s">
        <v>881</v>
      </c>
      <c r="G21" s="183" t="e">
        <f>'Вед-я стр-ра'!#REF!</f>
        <v>#REF!</v>
      </c>
      <c r="H21" s="183" t="e">
        <f>'Вед-я стр-ра'!#REF!</f>
        <v>#REF!</v>
      </c>
      <c r="I21" s="183" t="e">
        <f>'Вед-я стр-ра'!#REF!</f>
        <v>#REF!</v>
      </c>
      <c r="J21" s="452">
        <v>0</v>
      </c>
      <c r="K21" s="452">
        <v>0</v>
      </c>
      <c r="L21" s="452">
        <v>0</v>
      </c>
      <c r="M21" s="69"/>
      <c r="N21" s="69"/>
      <c r="O21" s="69"/>
    </row>
    <row r="22" spans="1:16" ht="25.5">
      <c r="A22">
        <f t="shared" si="1"/>
        <v>17</v>
      </c>
      <c r="B22" s="182" t="s">
        <v>863</v>
      </c>
      <c r="C22" s="37" t="s">
        <v>19</v>
      </c>
      <c r="D22" s="37" t="s">
        <v>7</v>
      </c>
      <c r="E22" s="37" t="s">
        <v>85</v>
      </c>
      <c r="F22" s="37" t="s">
        <v>860</v>
      </c>
      <c r="G22" s="183" t="e">
        <f>'Вед-я стр-ра'!#REF!</f>
        <v>#REF!</v>
      </c>
      <c r="H22" s="183" t="e">
        <f>'Вед-я стр-ра'!#REF!</f>
        <v>#REF!</v>
      </c>
      <c r="I22" s="183" t="e">
        <f>'Вед-я стр-ра'!#REF!</f>
        <v>#REF!</v>
      </c>
      <c r="J22" s="452">
        <v>0</v>
      </c>
      <c r="K22" s="452">
        <v>0</v>
      </c>
      <c r="L22" s="452">
        <v>0</v>
      </c>
      <c r="M22" s="69"/>
      <c r="N22" s="69"/>
      <c r="O22" s="69"/>
    </row>
    <row r="23" spans="1:16" ht="51">
      <c r="A23">
        <f t="shared" si="1"/>
        <v>18</v>
      </c>
      <c r="B23" s="182" t="s">
        <v>184</v>
      </c>
      <c r="C23" s="36" t="s">
        <v>15</v>
      </c>
      <c r="D23" s="37" t="s">
        <v>104</v>
      </c>
      <c r="E23" s="37" t="s">
        <v>98</v>
      </c>
      <c r="F23" s="37" t="s">
        <v>495</v>
      </c>
      <c r="G23" s="183" t="e">
        <f>'Вед-я стр-ра'!#REF!</f>
        <v>#REF!</v>
      </c>
      <c r="H23" s="183" t="e">
        <f>'Вед-я стр-ра'!#REF!</f>
        <v>#REF!</v>
      </c>
      <c r="I23" s="183" t="e">
        <f>'Вед-я стр-ра'!#REF!</f>
        <v>#REF!</v>
      </c>
      <c r="J23" s="452">
        <v>0</v>
      </c>
      <c r="K23" s="452">
        <v>0</v>
      </c>
      <c r="L23" s="452">
        <v>0</v>
      </c>
      <c r="M23" s="69"/>
      <c r="N23" s="69"/>
      <c r="O23" s="69"/>
    </row>
    <row r="24" spans="1:16" ht="63.75">
      <c r="A24">
        <f>A23+1</f>
        <v>19</v>
      </c>
      <c r="B24" s="182" t="s">
        <v>1029</v>
      </c>
      <c r="C24" s="36" t="s">
        <v>15</v>
      </c>
      <c r="D24" s="37" t="s">
        <v>104</v>
      </c>
      <c r="E24" s="37" t="s">
        <v>98</v>
      </c>
      <c r="F24" s="37" t="s">
        <v>1030</v>
      </c>
      <c r="G24" s="183" t="e">
        <f>'Вед-я стр-ра'!#REF!</f>
        <v>#REF!</v>
      </c>
      <c r="H24" s="183" t="e">
        <f>'Вед-я стр-ра'!#REF!</f>
        <v>#REF!</v>
      </c>
      <c r="I24" s="183" t="e">
        <f>'Вед-я стр-ра'!#REF!</f>
        <v>#REF!</v>
      </c>
      <c r="J24" s="452" t="e">
        <f>'Вед-я стр-ра'!#REF!</f>
        <v>#REF!</v>
      </c>
      <c r="K24" s="452" t="e">
        <f>'Вед-я стр-ра'!#REF!</f>
        <v>#REF!</v>
      </c>
      <c r="L24" s="452" t="e">
        <f>'Вед-я стр-ра'!#REF!</f>
        <v>#REF!</v>
      </c>
      <c r="M24" s="69"/>
      <c r="N24" s="69"/>
      <c r="O24" s="69"/>
    </row>
    <row r="25" spans="1:16" ht="76.5">
      <c r="A25">
        <f t="shared" si="1"/>
        <v>20</v>
      </c>
      <c r="B25" s="182" t="s">
        <v>1070</v>
      </c>
      <c r="C25" s="36" t="s">
        <v>15</v>
      </c>
      <c r="D25" s="37" t="s">
        <v>104</v>
      </c>
      <c r="E25" s="37" t="s">
        <v>98</v>
      </c>
      <c r="F25" s="37" t="s">
        <v>1071</v>
      </c>
      <c r="G25" s="183" t="e">
        <f>'Вед-я стр-ра'!#REF!</f>
        <v>#REF!</v>
      </c>
      <c r="H25" s="183" t="e">
        <f>'Вед-я стр-ра'!#REF!</f>
        <v>#REF!</v>
      </c>
      <c r="I25" s="183" t="e">
        <f>'Вед-я стр-ра'!#REF!</f>
        <v>#REF!</v>
      </c>
      <c r="J25" s="452" t="e">
        <f>'Вед-я стр-ра'!#REF!</f>
        <v>#REF!</v>
      </c>
      <c r="K25" s="452" t="e">
        <f>'Вед-я стр-ра'!#REF!</f>
        <v>#REF!</v>
      </c>
      <c r="L25" s="452" t="e">
        <f>'Вед-я стр-ра'!#REF!</f>
        <v>#REF!</v>
      </c>
      <c r="M25" s="183"/>
      <c r="N25" s="183"/>
      <c r="O25" s="183"/>
    </row>
    <row r="26" spans="1:16" ht="51">
      <c r="A26">
        <f t="shared" si="1"/>
        <v>21</v>
      </c>
      <c r="B26" s="182" t="s">
        <v>1021</v>
      </c>
      <c r="C26" s="36" t="s">
        <v>15</v>
      </c>
      <c r="D26" s="37" t="s">
        <v>104</v>
      </c>
      <c r="E26" s="37" t="s">
        <v>99</v>
      </c>
      <c r="F26" s="37" t="s">
        <v>1171</v>
      </c>
      <c r="G26" s="183" t="e">
        <f>'Вед-я стр-ра'!#REF!</f>
        <v>#REF!</v>
      </c>
      <c r="H26" s="183" t="e">
        <f>'Вед-я стр-ра'!#REF!</f>
        <v>#REF!</v>
      </c>
      <c r="I26" s="183" t="e">
        <f>'Вед-я стр-ра'!#REF!</f>
        <v>#REF!</v>
      </c>
      <c r="J26" s="452" t="e">
        <f>'Вед-я стр-ра'!#REF!</f>
        <v>#REF!</v>
      </c>
      <c r="K26" s="452" t="e">
        <f>'Вед-я стр-ра'!#REF!</f>
        <v>#REF!</v>
      </c>
      <c r="L26" s="452" t="e">
        <f>'Вед-я стр-ра'!#REF!</f>
        <v>#REF!</v>
      </c>
      <c r="M26" s="58"/>
      <c r="N26" s="58"/>
      <c r="O26" s="58"/>
    </row>
    <row r="27" spans="1:16" ht="25.5">
      <c r="A27">
        <f t="shared" si="1"/>
        <v>22</v>
      </c>
      <c r="B27" s="182" t="s">
        <v>1169</v>
      </c>
      <c r="C27" s="36" t="s">
        <v>15</v>
      </c>
      <c r="D27" s="37" t="s">
        <v>104</v>
      </c>
      <c r="E27" s="37" t="s">
        <v>99</v>
      </c>
      <c r="F27" s="37" t="s">
        <v>1047</v>
      </c>
      <c r="G27" s="183" t="e">
        <f>'Вед-я стр-ра'!#REF!</f>
        <v>#REF!</v>
      </c>
      <c r="H27" s="183" t="e">
        <f>'Вед-я стр-ра'!#REF!</f>
        <v>#REF!</v>
      </c>
      <c r="I27" s="183" t="e">
        <f>'Вед-я стр-ра'!#REF!</f>
        <v>#REF!</v>
      </c>
      <c r="J27" s="452" t="e">
        <f>'Вед-я стр-ра'!#REF!</f>
        <v>#REF!</v>
      </c>
      <c r="K27" s="452" t="e">
        <f>'Вед-я стр-ра'!#REF!</f>
        <v>#REF!</v>
      </c>
      <c r="L27" s="452" t="e">
        <f>'Вед-я стр-ра'!#REF!</f>
        <v>#REF!</v>
      </c>
      <c r="M27" s="69"/>
      <c r="N27" s="69"/>
      <c r="O27" s="69"/>
      <c r="P27" s="446"/>
    </row>
    <row r="28" spans="1:16" ht="51">
      <c r="A28">
        <f>A27+1</f>
        <v>23</v>
      </c>
      <c r="B28" s="182" t="s">
        <v>1170</v>
      </c>
      <c r="C28" s="36" t="s">
        <v>15</v>
      </c>
      <c r="D28" s="37" t="s">
        <v>104</v>
      </c>
      <c r="E28" s="37" t="s">
        <v>99</v>
      </c>
      <c r="F28" s="37" t="s">
        <v>1109</v>
      </c>
      <c r="G28" s="183" t="e">
        <f>'Вед-я стр-ра'!#REF!</f>
        <v>#REF!</v>
      </c>
      <c r="H28" s="183" t="e">
        <f>'Вед-я стр-ра'!#REF!</f>
        <v>#REF!</v>
      </c>
      <c r="I28" s="183" t="e">
        <f>'Вед-я стр-ра'!#REF!</f>
        <v>#REF!</v>
      </c>
      <c r="J28" s="452" t="e">
        <f>'Вед-я стр-ра'!#REF!</f>
        <v>#REF!</v>
      </c>
      <c r="K28" s="452" t="e">
        <f>'Вед-я стр-ра'!#REF!</f>
        <v>#REF!</v>
      </c>
      <c r="L28" s="452" t="e">
        <f>'Вед-я стр-ра'!#REF!</f>
        <v>#REF!</v>
      </c>
      <c r="M28" s="183"/>
      <c r="N28" s="183"/>
      <c r="O28" s="183"/>
      <c r="P28" s="446"/>
    </row>
    <row r="29" spans="1:16">
      <c r="A29">
        <f t="shared" si="1"/>
        <v>24</v>
      </c>
      <c r="B29" s="182"/>
      <c r="C29" s="36"/>
      <c r="D29" s="37"/>
      <c r="E29" s="37"/>
      <c r="F29" s="37"/>
      <c r="G29" s="37"/>
      <c r="H29" s="37"/>
      <c r="I29" s="37"/>
      <c r="J29" s="453"/>
      <c r="K29" s="453"/>
      <c r="L29" s="453"/>
      <c r="M29" s="183"/>
      <c r="N29" s="183"/>
      <c r="O29" s="183"/>
    </row>
    <row r="30" spans="1:16">
      <c r="A30">
        <f t="shared" si="1"/>
        <v>25</v>
      </c>
      <c r="B30" s="182"/>
      <c r="C30" s="36"/>
      <c r="D30" s="37"/>
      <c r="E30" s="37"/>
      <c r="F30" s="37"/>
      <c r="G30" s="37"/>
      <c r="H30" s="37"/>
      <c r="I30" s="37"/>
      <c r="J30" s="453"/>
      <c r="K30" s="453"/>
      <c r="L30" s="453"/>
      <c r="M30" s="183"/>
      <c r="N30" s="183"/>
      <c r="O30" s="183"/>
    </row>
    <row r="31" spans="1:16">
      <c r="A31">
        <f t="shared" si="1"/>
        <v>26</v>
      </c>
      <c r="B31" s="182"/>
      <c r="C31" s="36"/>
      <c r="D31" s="37"/>
      <c r="E31" s="37"/>
      <c r="F31" s="37"/>
      <c r="G31" s="37"/>
      <c r="H31" s="37"/>
      <c r="I31" s="37"/>
      <c r="J31" s="453"/>
      <c r="K31" s="453"/>
      <c r="L31" s="453"/>
      <c r="M31" s="183"/>
      <c r="N31" s="183"/>
      <c r="O31" s="183"/>
    </row>
    <row r="32" spans="1:16">
      <c r="A32">
        <f t="shared" si="1"/>
        <v>27</v>
      </c>
      <c r="B32" s="182"/>
      <c r="C32" s="36"/>
      <c r="D32" s="37"/>
      <c r="E32" s="37"/>
      <c r="F32" s="37"/>
      <c r="G32" s="37"/>
      <c r="H32" s="37"/>
      <c r="I32" s="37"/>
      <c r="J32" s="453"/>
      <c r="K32" s="453"/>
      <c r="L32" s="453"/>
      <c r="M32" s="183"/>
      <c r="N32" s="183"/>
      <c r="O32" s="1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4"/>
  <sheetViews>
    <sheetView topLeftCell="A13" workbookViewId="0">
      <selection activeCell="E18" sqref="E18"/>
    </sheetView>
  </sheetViews>
  <sheetFormatPr defaultRowHeight="18"/>
  <cols>
    <col min="5" max="5" width="8.7265625" style="493"/>
  </cols>
  <sheetData>
    <row r="1" spans="3:6">
      <c r="C1" t="s">
        <v>1185</v>
      </c>
      <c r="F1" s="511" t="s">
        <v>1227</v>
      </c>
    </row>
    <row r="2" spans="3:6">
      <c r="E2" t="s">
        <v>1102</v>
      </c>
    </row>
    <row r="3" spans="3:6">
      <c r="C3" s="238" t="s">
        <v>319</v>
      </c>
      <c r="E3" s="493">
        <v>10010</v>
      </c>
    </row>
    <row r="4" spans="3:6">
      <c r="C4" s="238" t="s">
        <v>343</v>
      </c>
      <c r="E4" s="493">
        <v>10020</v>
      </c>
    </row>
    <row r="5" spans="3:6">
      <c r="C5" s="37" t="s">
        <v>320</v>
      </c>
      <c r="E5" s="493">
        <v>10050</v>
      </c>
    </row>
    <row r="6" spans="3:6">
      <c r="C6" s="238" t="s">
        <v>332</v>
      </c>
      <c r="E6" s="493">
        <v>11010</v>
      </c>
    </row>
    <row r="7" spans="3:6">
      <c r="C7" s="238" t="s">
        <v>333</v>
      </c>
      <c r="E7" s="493">
        <v>20010</v>
      </c>
    </row>
    <row r="8" spans="3:6">
      <c r="C8" s="37" t="s">
        <v>820</v>
      </c>
      <c r="E8" s="493">
        <v>20020</v>
      </c>
    </row>
    <row r="9" spans="3:6">
      <c r="C9" s="37" t="s">
        <v>976</v>
      </c>
      <c r="E9" s="493">
        <v>20030</v>
      </c>
    </row>
    <row r="10" spans="3:6">
      <c r="C10" s="37" t="s">
        <v>975</v>
      </c>
      <c r="E10" s="493">
        <v>20040</v>
      </c>
    </row>
    <row r="11" spans="3:6">
      <c r="C11" s="37" t="s">
        <v>1150</v>
      </c>
      <c r="E11" s="493">
        <v>20050</v>
      </c>
    </row>
    <row r="12" spans="3:6">
      <c r="C12" s="238" t="s">
        <v>335</v>
      </c>
      <c r="E12" s="493">
        <v>20060</v>
      </c>
    </row>
    <row r="13" spans="3:6">
      <c r="C13" s="37" t="s">
        <v>1125</v>
      </c>
      <c r="E13" s="493">
        <v>20070</v>
      </c>
    </row>
    <row r="14" spans="3:6">
      <c r="C14" s="37" t="s">
        <v>1046</v>
      </c>
      <c r="E14" s="493">
        <v>20090</v>
      </c>
    </row>
    <row r="15" spans="3:6">
      <c r="C15" s="238" t="s">
        <v>543</v>
      </c>
      <c r="E15" s="493">
        <v>20100</v>
      </c>
    </row>
    <row r="16" spans="3:6">
      <c r="C16" s="238" t="s">
        <v>322</v>
      </c>
      <c r="E16" s="493">
        <v>20120</v>
      </c>
    </row>
    <row r="17" spans="3:5">
      <c r="C17" s="37" t="s">
        <v>1118</v>
      </c>
      <c r="E17" s="493">
        <v>20130</v>
      </c>
    </row>
    <row r="18" spans="3:5">
      <c r="C18" s="37"/>
      <c r="E18" s="520">
        <v>20140</v>
      </c>
    </row>
    <row r="19" spans="3:5">
      <c r="C19" s="37"/>
      <c r="E19" s="510">
        <v>20150</v>
      </c>
    </row>
    <row r="20" spans="3:5">
      <c r="C20" s="37" t="s">
        <v>1119</v>
      </c>
      <c r="E20" s="493">
        <v>20180</v>
      </c>
    </row>
    <row r="21" spans="3:5">
      <c r="C21" s="238" t="s">
        <v>689</v>
      </c>
      <c r="E21" s="493">
        <v>20190</v>
      </c>
    </row>
    <row r="22" spans="3:5">
      <c r="C22" s="238" t="s">
        <v>690</v>
      </c>
      <c r="E22" s="493">
        <v>20220</v>
      </c>
    </row>
    <row r="23" spans="3:5">
      <c r="C23" s="238" t="s">
        <v>691</v>
      </c>
      <c r="E23" s="493">
        <v>20240</v>
      </c>
    </row>
    <row r="24" spans="3:5">
      <c r="C24" s="238" t="s">
        <v>692</v>
      </c>
      <c r="E24" s="493">
        <v>20250</v>
      </c>
    </row>
    <row r="25" spans="3:5">
      <c r="C25" s="238" t="s">
        <v>572</v>
      </c>
      <c r="E25" s="493">
        <v>20280</v>
      </c>
    </row>
    <row r="26" spans="3:5">
      <c r="C26" s="37" t="s">
        <v>1122</v>
      </c>
      <c r="E26" s="493">
        <v>20290</v>
      </c>
    </row>
    <row r="27" spans="3:5">
      <c r="C27" s="112" t="s">
        <v>495</v>
      </c>
      <c r="E27" s="493">
        <v>20300</v>
      </c>
    </row>
    <row r="28" spans="3:5">
      <c r="C28" s="112" t="s">
        <v>1030</v>
      </c>
      <c r="E28" s="493">
        <v>20340</v>
      </c>
    </row>
    <row r="29" spans="3:5">
      <c r="C29" s="112" t="s">
        <v>1071</v>
      </c>
      <c r="E29" s="493">
        <v>20350</v>
      </c>
    </row>
    <row r="30" spans="3:5">
      <c r="C30" s="112" t="s">
        <v>1171</v>
      </c>
      <c r="E30" s="493">
        <v>20360</v>
      </c>
    </row>
    <row r="31" spans="3:5">
      <c r="C31" s="112" t="s">
        <v>1047</v>
      </c>
      <c r="E31" s="493">
        <v>20370</v>
      </c>
    </row>
    <row r="32" spans="3:5">
      <c r="C32" s="112" t="s">
        <v>1105</v>
      </c>
      <c r="E32" s="493">
        <v>20380</v>
      </c>
    </row>
    <row r="33" spans="3:5">
      <c r="C33" s="239" t="s">
        <v>804</v>
      </c>
      <c r="E33" s="493">
        <v>20390</v>
      </c>
    </row>
    <row r="34" spans="3:5">
      <c r="C34" s="238" t="s">
        <v>369</v>
      </c>
      <c r="E34" s="493">
        <v>20420</v>
      </c>
    </row>
    <row r="35" spans="3:5">
      <c r="C35" s="238" t="s">
        <v>370</v>
      </c>
      <c r="E35" s="493">
        <v>20440</v>
      </c>
    </row>
    <row r="36" spans="3:5">
      <c r="C36" s="238" t="s">
        <v>371</v>
      </c>
      <c r="E36" s="493">
        <v>20450</v>
      </c>
    </row>
    <row r="37" spans="3:5">
      <c r="C37" s="238" t="s">
        <v>830</v>
      </c>
      <c r="E37" s="493">
        <v>20460</v>
      </c>
    </row>
    <row r="38" spans="3:5">
      <c r="C38" s="238" t="s">
        <v>807</v>
      </c>
      <c r="E38" s="493">
        <v>20480</v>
      </c>
    </row>
    <row r="39" spans="3:5">
      <c r="C39" s="239" t="s">
        <v>885</v>
      </c>
      <c r="E39" s="493">
        <v>20490</v>
      </c>
    </row>
    <row r="40" spans="3:5">
      <c r="C40" s="238" t="s">
        <v>693</v>
      </c>
      <c r="E40" s="493">
        <v>20500</v>
      </c>
    </row>
    <row r="41" spans="3:5">
      <c r="C41" s="238" t="s">
        <v>694</v>
      </c>
      <c r="E41" s="493">
        <v>20510</v>
      </c>
    </row>
    <row r="42" spans="3:5">
      <c r="C42" s="238" t="s">
        <v>695</v>
      </c>
      <c r="E42" s="493">
        <v>20520</v>
      </c>
    </row>
    <row r="43" spans="3:5">
      <c r="C43" s="238" t="s">
        <v>696</v>
      </c>
      <c r="E43" s="493">
        <v>20530</v>
      </c>
    </row>
    <row r="44" spans="3:5">
      <c r="C44" s="238" t="s">
        <v>697</v>
      </c>
      <c r="E44" s="493">
        <v>20540</v>
      </c>
    </row>
    <row r="45" spans="3:5">
      <c r="C45" s="238" t="s">
        <v>698</v>
      </c>
      <c r="E45" s="493">
        <v>20550</v>
      </c>
    </row>
    <row r="46" spans="3:5">
      <c r="C46" s="37" t="s">
        <v>1019</v>
      </c>
      <c r="E46" s="493">
        <v>20560</v>
      </c>
    </row>
    <row r="47" spans="3:5">
      <c r="C47" s="37" t="s">
        <v>1062</v>
      </c>
      <c r="E47" s="493">
        <v>20570</v>
      </c>
    </row>
    <row r="48" spans="3:5">
      <c r="C48" s="37" t="s">
        <v>1003</v>
      </c>
      <c r="E48" s="510">
        <v>20580</v>
      </c>
    </row>
    <row r="49" spans="1:5">
      <c r="C49" s="238" t="s">
        <v>374</v>
      </c>
      <c r="E49" s="493">
        <v>20620</v>
      </c>
    </row>
    <row r="50" spans="1:5">
      <c r="C50" s="238" t="s">
        <v>375</v>
      </c>
      <c r="E50" s="493">
        <v>20630</v>
      </c>
    </row>
    <row r="51" spans="1:5">
      <c r="C51" s="37" t="s">
        <v>874</v>
      </c>
      <c r="E51" s="493">
        <v>20640</v>
      </c>
    </row>
    <row r="52" spans="1:5">
      <c r="C52" s="238" t="s">
        <v>576</v>
      </c>
      <c r="E52" s="493">
        <v>20650</v>
      </c>
    </row>
    <row r="53" spans="1:5">
      <c r="C53" s="37" t="s">
        <v>854</v>
      </c>
      <c r="E53" s="493">
        <v>20660</v>
      </c>
    </row>
    <row r="54" spans="1:5">
      <c r="C54" s="37" t="s">
        <v>972</v>
      </c>
      <c r="E54" s="493">
        <v>20690</v>
      </c>
    </row>
    <row r="55" spans="1:5">
      <c r="C55" s="37" t="s">
        <v>855</v>
      </c>
      <c r="E55" s="493">
        <v>20710</v>
      </c>
    </row>
    <row r="56" spans="1:5">
      <c r="C56" s="238" t="s">
        <v>377</v>
      </c>
      <c r="E56" s="493">
        <v>20740</v>
      </c>
    </row>
    <row r="57" spans="1:5">
      <c r="C57" s="238" t="s">
        <v>379</v>
      </c>
      <c r="E57" s="493">
        <v>20780</v>
      </c>
    </row>
    <row r="58" spans="1:5">
      <c r="C58" s="37" t="s">
        <v>787</v>
      </c>
      <c r="E58" s="493">
        <v>20820</v>
      </c>
    </row>
    <row r="59" spans="1:5">
      <c r="C59" s="238" t="s">
        <v>381</v>
      </c>
      <c r="E59" s="493">
        <v>20830</v>
      </c>
    </row>
    <row r="60" spans="1:5">
      <c r="C60" s="238" t="s">
        <v>383</v>
      </c>
      <c r="E60" s="493">
        <v>20840</v>
      </c>
    </row>
    <row r="61" spans="1:5">
      <c r="C61" s="238" t="s">
        <v>385</v>
      </c>
      <c r="E61" s="493">
        <v>21060</v>
      </c>
    </row>
    <row r="62" spans="1:5">
      <c r="A62" s="442" t="s">
        <v>1104</v>
      </c>
      <c r="C62" s="238" t="s">
        <v>387</v>
      </c>
      <c r="E62" s="493">
        <v>21070</v>
      </c>
    </row>
    <row r="63" spans="1:5">
      <c r="C63" s="37" t="s">
        <v>803</v>
      </c>
      <c r="E63" s="493">
        <v>21090</v>
      </c>
    </row>
    <row r="64" spans="1:5">
      <c r="C64" s="238" t="s">
        <v>389</v>
      </c>
      <c r="E64" s="493">
        <v>21100</v>
      </c>
    </row>
    <row r="65" spans="3:5">
      <c r="C65" s="238" t="s">
        <v>391</v>
      </c>
      <c r="E65" s="493">
        <v>21120</v>
      </c>
    </row>
    <row r="66" spans="3:5">
      <c r="C66" s="238" t="s">
        <v>392</v>
      </c>
      <c r="E66" s="493">
        <v>21130</v>
      </c>
    </row>
    <row r="67" spans="3:5">
      <c r="C67" s="37" t="s">
        <v>877</v>
      </c>
      <c r="E67" s="493">
        <v>21180</v>
      </c>
    </row>
    <row r="68" spans="3:5">
      <c r="C68" s="37" t="s">
        <v>883</v>
      </c>
      <c r="E68" s="493">
        <v>21210</v>
      </c>
    </row>
    <row r="69" spans="3:5">
      <c r="C69" s="238" t="s">
        <v>549</v>
      </c>
      <c r="E69" s="493">
        <v>21230</v>
      </c>
    </row>
    <row r="70" spans="3:5">
      <c r="C70" s="238" t="s">
        <v>550</v>
      </c>
      <c r="E70" s="493">
        <v>21280</v>
      </c>
    </row>
    <row r="71" spans="3:5">
      <c r="C71" s="37" t="s">
        <v>917</v>
      </c>
      <c r="E71" s="493">
        <v>21360</v>
      </c>
    </row>
    <row r="72" spans="3:5">
      <c r="C72" s="37" t="s">
        <v>919</v>
      </c>
      <c r="E72" s="493">
        <v>21370</v>
      </c>
    </row>
    <row r="73" spans="3:5">
      <c r="C73" s="238" t="s">
        <v>705</v>
      </c>
      <c r="E73" s="493">
        <v>21620</v>
      </c>
    </row>
    <row r="74" spans="3:5">
      <c r="C74" s="238" t="s">
        <v>703</v>
      </c>
      <c r="E74" s="493">
        <v>21630</v>
      </c>
    </row>
    <row r="75" spans="3:5">
      <c r="C75" s="238" t="s">
        <v>676</v>
      </c>
      <c r="E75" s="493">
        <v>21730</v>
      </c>
    </row>
    <row r="76" spans="3:5">
      <c r="C76" s="37" t="s">
        <v>922</v>
      </c>
      <c r="E76" s="493">
        <v>21750</v>
      </c>
    </row>
    <row r="77" spans="3:5">
      <c r="C77" s="238" t="s">
        <v>437</v>
      </c>
      <c r="E77" s="493">
        <v>21780</v>
      </c>
    </row>
    <row r="78" spans="3:5">
      <c r="C78" s="238" t="s">
        <v>456</v>
      </c>
      <c r="E78" s="493">
        <v>21790</v>
      </c>
    </row>
    <row r="79" spans="3:5">
      <c r="C79" s="239" t="s">
        <v>431</v>
      </c>
      <c r="E79" s="493">
        <v>40010</v>
      </c>
    </row>
    <row r="80" spans="3:5">
      <c r="C80" s="239" t="s">
        <v>433</v>
      </c>
      <c r="E80" s="493">
        <v>50840</v>
      </c>
    </row>
    <row r="81" spans="3:5">
      <c r="C81" s="239" t="s">
        <v>452</v>
      </c>
      <c r="E81" s="493">
        <v>51200</v>
      </c>
    </row>
    <row r="82" spans="3:5">
      <c r="C82" s="37" t="s">
        <v>771</v>
      </c>
      <c r="E82" s="493">
        <v>52200</v>
      </c>
    </row>
    <row r="83" spans="3:5">
      <c r="C83" s="112" t="s">
        <v>759</v>
      </c>
      <c r="E83" s="493">
        <v>52320</v>
      </c>
    </row>
    <row r="84" spans="3:5">
      <c r="C84" s="70" t="s">
        <v>822</v>
      </c>
      <c r="E84" s="493">
        <v>52500</v>
      </c>
    </row>
    <row r="85" spans="3:5">
      <c r="C85" s="112" t="s">
        <v>1138</v>
      </c>
      <c r="E85" s="493">
        <v>53050</v>
      </c>
    </row>
    <row r="86" spans="3:5">
      <c r="C86" s="70" t="s">
        <v>992</v>
      </c>
      <c r="E86" s="493">
        <v>54180</v>
      </c>
    </row>
    <row r="87" spans="3:5">
      <c r="C87" s="37" t="s">
        <v>961</v>
      </c>
      <c r="E87" s="493">
        <v>54530</v>
      </c>
    </row>
    <row r="88" spans="3:5">
      <c r="C88" s="37" t="s">
        <v>1013</v>
      </c>
      <c r="E88" s="493">
        <v>55195</v>
      </c>
    </row>
    <row r="89" spans="3:5">
      <c r="C89" s="37" t="s">
        <v>970</v>
      </c>
      <c r="E89" s="493">
        <v>55197</v>
      </c>
    </row>
    <row r="90" spans="3:5">
      <c r="C90" s="239" t="s">
        <v>783</v>
      </c>
      <c r="E90" s="493">
        <v>55200</v>
      </c>
    </row>
    <row r="91" spans="3:5">
      <c r="C91" s="239" t="s">
        <v>560</v>
      </c>
      <c r="E91" s="493">
        <v>55550</v>
      </c>
    </row>
    <row r="92" spans="3:5">
      <c r="C92" s="239" t="s">
        <v>450</v>
      </c>
      <c r="E92" s="493">
        <v>55900</v>
      </c>
    </row>
    <row r="93" spans="3:5">
      <c r="C93" s="239" t="s">
        <v>563</v>
      </c>
      <c r="E93" s="493">
        <v>60040</v>
      </c>
    </row>
    <row r="94" spans="3:5">
      <c r="C94" s="239" t="s">
        <v>565</v>
      </c>
      <c r="E94" s="493">
        <v>60080</v>
      </c>
    </row>
    <row r="95" spans="3:5">
      <c r="C95" s="239" t="s">
        <v>566</v>
      </c>
      <c r="E95" s="493">
        <v>60120</v>
      </c>
    </row>
    <row r="96" spans="3:5">
      <c r="C96" s="239" t="s">
        <v>567</v>
      </c>
      <c r="E96" s="493">
        <v>60130</v>
      </c>
    </row>
    <row r="97" spans="3:5">
      <c r="C97" s="239" t="s">
        <v>556</v>
      </c>
      <c r="E97" s="493">
        <v>60150</v>
      </c>
    </row>
    <row r="98" spans="3:5">
      <c r="C98" s="239" t="s">
        <v>557</v>
      </c>
      <c r="E98" s="493">
        <v>76100</v>
      </c>
    </row>
    <row r="99" spans="3:5">
      <c r="C99" s="239" t="s">
        <v>772</v>
      </c>
      <c r="E99" s="493">
        <v>76140</v>
      </c>
    </row>
    <row r="100" spans="3:5">
      <c r="C100" s="37" t="s">
        <v>1044</v>
      </c>
      <c r="E100" s="493">
        <v>76200</v>
      </c>
    </row>
    <row r="101" spans="3:5">
      <c r="C101" s="37" t="s">
        <v>1158</v>
      </c>
      <c r="E101" s="493">
        <v>76210</v>
      </c>
    </row>
    <row r="102" spans="3:5">
      <c r="C102" s="37" t="s">
        <v>1159</v>
      </c>
      <c r="E102" s="493">
        <v>76240</v>
      </c>
    </row>
    <row r="103" spans="3:5">
      <c r="C103" s="37" t="s">
        <v>1140</v>
      </c>
      <c r="E103" s="493">
        <v>76260</v>
      </c>
    </row>
    <row r="104" spans="3:5">
      <c r="C104" s="37" t="s">
        <v>823</v>
      </c>
      <c r="E104" s="493">
        <v>76270</v>
      </c>
    </row>
    <row r="105" spans="3:5">
      <c r="C105" s="57" t="s">
        <v>912</v>
      </c>
      <c r="E105" s="493">
        <v>76280</v>
      </c>
    </row>
    <row r="106" spans="3:5">
      <c r="C106" s="112" t="s">
        <v>1103</v>
      </c>
      <c r="E106" s="493">
        <v>76360</v>
      </c>
    </row>
    <row r="107" spans="3:5">
      <c r="C107" s="37" t="s">
        <v>1073</v>
      </c>
      <c r="E107" s="493">
        <v>76610</v>
      </c>
    </row>
    <row r="108" spans="3:5">
      <c r="C108" s="37" t="s">
        <v>1157</v>
      </c>
      <c r="E108" s="493">
        <v>76630</v>
      </c>
    </row>
    <row r="109" spans="3:5">
      <c r="C109" s="37" t="s">
        <v>1160</v>
      </c>
      <c r="E109" s="493">
        <v>76930</v>
      </c>
    </row>
    <row r="110" spans="3:5">
      <c r="C110" s="37" t="s">
        <v>1141</v>
      </c>
      <c r="E110" s="493">
        <v>77150</v>
      </c>
    </row>
    <row r="111" spans="3:5">
      <c r="C111" s="36" t="s">
        <v>728</v>
      </c>
      <c r="E111" s="493">
        <v>77160</v>
      </c>
    </row>
    <row r="112" spans="3:5">
      <c r="C112" s="37" t="s">
        <v>968</v>
      </c>
      <c r="E112" s="493">
        <v>77170</v>
      </c>
    </row>
    <row r="113" spans="3:5">
      <c r="C113" s="230" t="s">
        <v>307</v>
      </c>
      <c r="E113" s="493">
        <v>77190</v>
      </c>
    </row>
    <row r="114" spans="3:5">
      <c r="C114" s="230" t="s">
        <v>439</v>
      </c>
      <c r="E114" s="493">
        <v>77220</v>
      </c>
    </row>
    <row r="115" spans="3:5">
      <c r="C115" s="230" t="s">
        <v>349</v>
      </c>
      <c r="E115" s="493">
        <v>77610</v>
      </c>
    </row>
    <row r="116" spans="3:5">
      <c r="C116" s="230" t="s">
        <v>353</v>
      </c>
      <c r="E116" s="493">
        <v>77650</v>
      </c>
    </row>
    <row r="117" spans="3:5">
      <c r="C117" s="230" t="s">
        <v>356</v>
      </c>
      <c r="E117" s="493">
        <v>77820</v>
      </c>
    </row>
    <row r="118" spans="3:5">
      <c r="C118" s="37" t="s">
        <v>1080</v>
      </c>
      <c r="E118" s="493">
        <v>78110</v>
      </c>
    </row>
    <row r="119" spans="3:5">
      <c r="C119" s="230" t="s">
        <v>359</v>
      </c>
      <c r="E119" s="493">
        <v>78120</v>
      </c>
    </row>
    <row r="120" spans="3:5">
      <c r="C120" s="230" t="s">
        <v>902</v>
      </c>
      <c r="E120" s="493">
        <v>78130</v>
      </c>
    </row>
    <row r="121" spans="3:5">
      <c r="C121" s="230" t="s">
        <v>901</v>
      </c>
      <c r="E121" s="493">
        <v>78140</v>
      </c>
    </row>
    <row r="122" spans="3:5">
      <c r="C122" s="230" t="s">
        <v>907</v>
      </c>
      <c r="E122" s="493">
        <v>78210</v>
      </c>
    </row>
    <row r="123" spans="3:5">
      <c r="C123" s="37" t="s">
        <v>1006</v>
      </c>
      <c r="E123" s="493">
        <v>78220</v>
      </c>
    </row>
    <row r="124" spans="3:5">
      <c r="C124" s="37" t="s">
        <v>904</v>
      </c>
      <c r="E124" s="493">
        <v>78230</v>
      </c>
    </row>
    <row r="125" spans="3:5">
      <c r="C125" s="37" t="s">
        <v>1078</v>
      </c>
      <c r="E125" s="493">
        <v>78240</v>
      </c>
    </row>
    <row r="126" spans="3:5">
      <c r="C126" s="37" t="s">
        <v>1112</v>
      </c>
      <c r="E126" s="493">
        <v>78250</v>
      </c>
    </row>
    <row r="127" spans="3:5">
      <c r="C127" s="37" t="s">
        <v>1143</v>
      </c>
      <c r="E127" s="493">
        <v>78260</v>
      </c>
    </row>
    <row r="128" spans="3:5">
      <c r="C128" s="239" t="s">
        <v>403</v>
      </c>
      <c r="E128" s="493">
        <v>78270</v>
      </c>
    </row>
    <row r="129" spans="3:5">
      <c r="C129" s="239" t="s">
        <v>417</v>
      </c>
      <c r="E129" s="493">
        <v>78730</v>
      </c>
    </row>
    <row r="130" spans="3:5">
      <c r="C130" s="239" t="s">
        <v>708</v>
      </c>
      <c r="E130" s="493">
        <v>78810</v>
      </c>
    </row>
    <row r="131" spans="3:5">
      <c r="C131" s="239" t="s">
        <v>889</v>
      </c>
      <c r="E131" s="493">
        <v>80020</v>
      </c>
    </row>
    <row r="132" spans="3:5">
      <c r="C132" s="239" t="s">
        <v>420</v>
      </c>
      <c r="E132" s="493">
        <v>80030</v>
      </c>
    </row>
    <row r="133" spans="3:5">
      <c r="C133" s="239" t="s">
        <v>710</v>
      </c>
      <c r="E133" s="493">
        <v>80070</v>
      </c>
    </row>
    <row r="134" spans="3:5">
      <c r="C134" s="37" t="s">
        <v>770</v>
      </c>
      <c r="E134" s="493">
        <v>80080</v>
      </c>
    </row>
    <row r="135" spans="3:5">
      <c r="C135" s="239" t="s">
        <v>531</v>
      </c>
      <c r="E135" s="493">
        <v>80100</v>
      </c>
    </row>
    <row r="136" spans="3:5">
      <c r="C136" s="239" t="s">
        <v>1129</v>
      </c>
      <c r="E136" s="493">
        <v>80110</v>
      </c>
    </row>
    <row r="137" spans="3:5">
      <c r="C137" s="251" t="s">
        <v>411</v>
      </c>
      <c r="E137" s="493">
        <v>80120</v>
      </c>
    </row>
    <row r="138" spans="3:5">
      <c r="C138" s="251" t="s">
        <v>413</v>
      </c>
      <c r="E138" s="493">
        <v>80140</v>
      </c>
    </row>
    <row r="139" spans="3:5">
      <c r="C139" s="37" t="s">
        <v>995</v>
      </c>
      <c r="E139" s="493">
        <v>80150</v>
      </c>
    </row>
    <row r="140" spans="3:5">
      <c r="C140" s="37" t="s">
        <v>960</v>
      </c>
      <c r="E140" s="493">
        <v>80160</v>
      </c>
    </row>
    <row r="141" spans="3:5">
      <c r="C141" s="230" t="s">
        <v>847</v>
      </c>
      <c r="E141" s="493">
        <v>80180</v>
      </c>
    </row>
    <row r="142" spans="3:5">
      <c r="C142" s="230" t="s">
        <v>952</v>
      </c>
      <c r="E142" s="493">
        <v>80210</v>
      </c>
    </row>
    <row r="143" spans="3:5">
      <c r="C143" s="230" t="s">
        <v>953</v>
      </c>
      <c r="E143" s="493">
        <v>80220</v>
      </c>
    </row>
    <row r="144" spans="3:5">
      <c r="C144" s="230" t="s">
        <v>954</v>
      </c>
      <c r="E144" s="493">
        <v>80240</v>
      </c>
    </row>
    <row r="145" spans="3:5">
      <c r="C145" s="230" t="s">
        <v>957</v>
      </c>
      <c r="E145" s="493">
        <v>80260</v>
      </c>
    </row>
    <row r="146" spans="3:5">
      <c r="C146" s="230" t="s">
        <v>955</v>
      </c>
      <c r="E146" s="493">
        <v>80290</v>
      </c>
    </row>
    <row r="147" spans="3:5">
      <c r="C147" s="230" t="s">
        <v>956</v>
      </c>
      <c r="E147" s="493">
        <v>80300</v>
      </c>
    </row>
    <row r="148" spans="3:5">
      <c r="C148" s="230" t="s">
        <v>271</v>
      </c>
      <c r="E148" s="493">
        <v>90260</v>
      </c>
    </row>
    <row r="149" spans="3:5">
      <c r="C149" s="230" t="s">
        <v>274</v>
      </c>
      <c r="E149" s="493">
        <v>98710</v>
      </c>
    </row>
    <row r="150" spans="3:5">
      <c r="C150" s="230" t="s">
        <v>276</v>
      </c>
      <c r="E150" s="493">
        <v>98720</v>
      </c>
    </row>
    <row r="151" spans="3:5">
      <c r="C151" s="230" t="s">
        <v>682</v>
      </c>
      <c r="E151" s="493" t="s">
        <v>1101</v>
      </c>
    </row>
    <row r="152" spans="3:5">
      <c r="C152" s="230" t="s">
        <v>278</v>
      </c>
      <c r="E152" s="493" t="s">
        <v>1190</v>
      </c>
    </row>
    <row r="153" spans="3:5">
      <c r="C153" s="230" t="s">
        <v>244</v>
      </c>
      <c r="E153" s="493" t="s">
        <v>1191</v>
      </c>
    </row>
    <row r="154" spans="3:5">
      <c r="C154" s="230" t="s">
        <v>245</v>
      </c>
      <c r="E154" s="493" t="s">
        <v>1192</v>
      </c>
    </row>
    <row r="155" spans="3:5">
      <c r="C155" s="37" t="s">
        <v>898</v>
      </c>
      <c r="E155" s="493" t="s">
        <v>1100</v>
      </c>
    </row>
    <row r="156" spans="3:5">
      <c r="C156" s="37" t="s">
        <v>1054</v>
      </c>
      <c r="E156" s="493" t="s">
        <v>1099</v>
      </c>
    </row>
    <row r="157" spans="3:5">
      <c r="C157" s="37" t="s">
        <v>1055</v>
      </c>
      <c r="E157" s="493" t="s">
        <v>1197</v>
      </c>
    </row>
    <row r="158" spans="3:5">
      <c r="C158" s="37" t="s">
        <v>1037</v>
      </c>
      <c r="E158" s="493" t="s">
        <v>1187</v>
      </c>
    </row>
    <row r="159" spans="3:5">
      <c r="C159" s="37" t="s">
        <v>1039</v>
      </c>
      <c r="E159" s="493" t="s">
        <v>1098</v>
      </c>
    </row>
    <row r="160" spans="3:5">
      <c r="C160" s="37" t="s">
        <v>1041</v>
      </c>
      <c r="E160" s="493" t="s">
        <v>1186</v>
      </c>
    </row>
    <row r="161" spans="3:5">
      <c r="C161" s="37" t="s">
        <v>1043</v>
      </c>
      <c r="E161" s="493" t="s">
        <v>1097</v>
      </c>
    </row>
    <row r="162" spans="3:5">
      <c r="C162" s="230" t="s">
        <v>936</v>
      </c>
      <c r="E162" s="493" t="s">
        <v>1096</v>
      </c>
    </row>
    <row r="163" spans="3:5">
      <c r="C163" s="230" t="s">
        <v>938</v>
      </c>
      <c r="E163" s="493" t="s">
        <v>1095</v>
      </c>
    </row>
    <row r="164" spans="3:5">
      <c r="C164" s="230" t="s">
        <v>249</v>
      </c>
      <c r="E164" s="493" t="s">
        <v>1094</v>
      </c>
    </row>
    <row r="165" spans="3:5">
      <c r="C165" s="230" t="s">
        <v>251</v>
      </c>
      <c r="E165" s="493" t="s">
        <v>1093</v>
      </c>
    </row>
    <row r="166" spans="3:5">
      <c r="C166" s="230" t="s">
        <v>769</v>
      </c>
      <c r="E166" s="493" t="s">
        <v>1092</v>
      </c>
    </row>
    <row r="167" spans="3:5">
      <c r="C167" s="37" t="s">
        <v>776</v>
      </c>
      <c r="E167" s="493" t="s">
        <v>1189</v>
      </c>
    </row>
    <row r="168" spans="3:5">
      <c r="C168" s="36" t="s">
        <v>467</v>
      </c>
      <c r="E168" s="493" t="s">
        <v>1193</v>
      </c>
    </row>
    <row r="169" spans="3:5">
      <c r="C169" s="36" t="s">
        <v>499</v>
      </c>
      <c r="E169" s="493" t="s">
        <v>1188</v>
      </c>
    </row>
    <row r="170" spans="3:5">
      <c r="C170" s="36" t="s">
        <v>875</v>
      </c>
      <c r="E170" s="493" t="s">
        <v>1091</v>
      </c>
    </row>
    <row r="171" spans="3:5">
      <c r="C171" s="36" t="s">
        <v>816</v>
      </c>
      <c r="E171" s="493" t="s">
        <v>1090</v>
      </c>
    </row>
    <row r="172" spans="3:5">
      <c r="C172" s="478" t="s">
        <v>1027</v>
      </c>
      <c r="E172" s="493" t="s">
        <v>1198</v>
      </c>
    </row>
    <row r="173" spans="3:5">
      <c r="C173" s="37" t="s">
        <v>1126</v>
      </c>
      <c r="E173" s="493" t="s">
        <v>1089</v>
      </c>
    </row>
    <row r="174" spans="3:5">
      <c r="C174" s="230" t="s">
        <v>893</v>
      </c>
      <c r="E174" s="493" t="s">
        <v>1194</v>
      </c>
    </row>
    <row r="175" spans="3:5">
      <c r="C175" s="230" t="s">
        <v>894</v>
      </c>
      <c r="E175" s="493" t="s">
        <v>1195</v>
      </c>
    </row>
    <row r="176" spans="3:5">
      <c r="C176" s="256" t="s">
        <v>895</v>
      </c>
      <c r="E176" s="493" t="s">
        <v>1196</v>
      </c>
    </row>
    <row r="177" spans="3:5">
      <c r="C177" s="230" t="s">
        <v>892</v>
      </c>
      <c r="E177"/>
    </row>
    <row r="178" spans="3:5">
      <c r="C178" s="230" t="s">
        <v>896</v>
      </c>
      <c r="E178"/>
    </row>
    <row r="179" spans="3:5">
      <c r="C179" s="238" t="s">
        <v>472</v>
      </c>
      <c r="E179"/>
    </row>
    <row r="180" spans="3:5">
      <c r="C180" s="238" t="s">
        <v>713</v>
      </c>
      <c r="E180"/>
    </row>
    <row r="181" spans="3:5">
      <c r="C181" s="238" t="s">
        <v>714</v>
      </c>
      <c r="E181"/>
    </row>
    <row r="182" spans="3:5">
      <c r="C182" s="238" t="s">
        <v>474</v>
      </c>
      <c r="E182"/>
    </row>
    <row r="183" spans="3:5">
      <c r="C183" s="238" t="s">
        <v>527</v>
      </c>
      <c r="E183"/>
    </row>
    <row r="184" spans="3:5">
      <c r="C184" s="238" t="s">
        <v>718</v>
      </c>
      <c r="E184"/>
    </row>
    <row r="185" spans="3:5">
      <c r="C185" s="238" t="s">
        <v>720</v>
      </c>
      <c r="E185"/>
    </row>
    <row r="186" spans="3:5">
      <c r="C186" s="238" t="s">
        <v>722</v>
      </c>
      <c r="E186"/>
    </row>
    <row r="187" spans="3:5">
      <c r="C187" s="238" t="s">
        <v>724</v>
      </c>
      <c r="E187"/>
    </row>
    <row r="188" spans="3:5">
      <c r="C188" s="238" t="s">
        <v>330</v>
      </c>
      <c r="E188"/>
    </row>
    <row r="189" spans="3:5">
      <c r="C189" s="238" t="s">
        <v>459</v>
      </c>
      <c r="E189"/>
    </row>
    <row r="190" spans="3:5">
      <c r="C190" s="238" t="s">
        <v>265</v>
      </c>
      <c r="E190"/>
    </row>
    <row r="191" spans="3:5">
      <c r="C191" s="238" t="s">
        <v>688</v>
      </c>
      <c r="E191"/>
    </row>
    <row r="192" spans="3:5">
      <c r="C192" s="37" t="s">
        <v>860</v>
      </c>
      <c r="E192"/>
    </row>
    <row r="193" spans="3:5">
      <c r="C193" s="37" t="s">
        <v>806</v>
      </c>
      <c r="E193"/>
    </row>
    <row r="194" spans="3:5">
      <c r="C194" s="37" t="s">
        <v>985</v>
      </c>
      <c r="E194"/>
    </row>
    <row r="195" spans="3:5">
      <c r="C195" s="230" t="s">
        <v>228</v>
      </c>
      <c r="E195"/>
    </row>
    <row r="196" spans="3:5">
      <c r="C196" s="230" t="s">
        <v>229</v>
      </c>
      <c r="E196"/>
    </row>
    <row r="197" spans="3:5">
      <c r="C197" s="230" t="s">
        <v>540</v>
      </c>
      <c r="E197"/>
    </row>
    <row r="198" spans="3:5">
      <c r="C198" s="230" t="s">
        <v>226</v>
      </c>
      <c r="E198"/>
    </row>
    <row r="199" spans="3:5">
      <c r="C199" s="230" t="s">
        <v>553</v>
      </c>
      <c r="E199"/>
    </row>
    <row r="200" spans="3:5">
      <c r="C200" s="230" t="s">
        <v>231</v>
      </c>
      <c r="E200"/>
    </row>
    <row r="201" spans="3:5">
      <c r="C201" s="230" t="s">
        <v>775</v>
      </c>
      <c r="E201"/>
    </row>
    <row r="202" spans="3:5">
      <c r="C202" s="230" t="s">
        <v>235</v>
      </c>
      <c r="E202"/>
    </row>
    <row r="203" spans="3:5">
      <c r="C203" s="230" t="s">
        <v>236</v>
      </c>
      <c r="E203"/>
    </row>
    <row r="204" spans="3:5">
      <c r="C204" s="230" t="s">
        <v>266</v>
      </c>
      <c r="E204"/>
    </row>
    <row r="205" spans="3:5">
      <c r="C205" s="239" t="s">
        <v>237</v>
      </c>
      <c r="E205"/>
    </row>
    <row r="206" spans="3:5">
      <c r="C206" s="239" t="s">
        <v>238</v>
      </c>
      <c r="E206"/>
    </row>
    <row r="207" spans="3:5">
      <c r="C207" s="230" t="s">
        <v>516</v>
      </c>
      <c r="E207"/>
    </row>
    <row r="208" spans="3:5">
      <c r="C208" s="230" t="s">
        <v>240</v>
      </c>
      <c r="E208"/>
    </row>
    <row r="209" spans="3:5">
      <c r="C209" s="230" t="s">
        <v>291</v>
      </c>
      <c r="E209"/>
    </row>
    <row r="210" spans="3:5">
      <c r="C210" s="230" t="s">
        <v>292</v>
      </c>
      <c r="E210"/>
    </row>
    <row r="211" spans="3:5">
      <c r="C211" s="230" t="s">
        <v>301</v>
      </c>
      <c r="E211"/>
    </row>
    <row r="212" spans="3:5">
      <c r="C212" s="230" t="s">
        <v>302</v>
      </c>
      <c r="E212"/>
    </row>
    <row r="213" spans="3:5">
      <c r="C213" s="230" t="s">
        <v>311</v>
      </c>
      <c r="E213"/>
    </row>
    <row r="214" spans="3:5">
      <c r="C214" s="230" t="s">
        <v>312</v>
      </c>
      <c r="E214"/>
    </row>
    <row r="215" spans="3:5">
      <c r="C215" s="251" t="s">
        <v>339</v>
      </c>
      <c r="E215"/>
    </row>
    <row r="216" spans="3:5">
      <c r="C216" s="251" t="s">
        <v>340</v>
      </c>
      <c r="E216"/>
    </row>
    <row r="217" spans="3:5">
      <c r="C217" s="37" t="s">
        <v>808</v>
      </c>
      <c r="E217"/>
    </row>
    <row r="218" spans="3:5">
      <c r="C218" s="251" t="s">
        <v>342</v>
      </c>
      <c r="E218"/>
    </row>
    <row r="219" spans="3:5">
      <c r="C219" s="239" t="s">
        <v>363</v>
      </c>
      <c r="E219"/>
    </row>
    <row r="220" spans="3:5">
      <c r="C220" s="239" t="s">
        <v>364</v>
      </c>
      <c r="E220"/>
    </row>
    <row r="221" spans="3:5">
      <c r="C221" s="239" t="s">
        <v>610</v>
      </c>
      <c r="E221"/>
    </row>
    <row r="222" spans="3:5">
      <c r="C222" s="239" t="s">
        <v>396</v>
      </c>
      <c r="E222"/>
    </row>
    <row r="223" spans="3:5">
      <c r="C223" s="239" t="s">
        <v>397</v>
      </c>
      <c r="E223"/>
    </row>
    <row r="224" spans="3:5">
      <c r="C224" s="239" t="s">
        <v>398</v>
      </c>
      <c r="E224"/>
    </row>
    <row r="225" spans="3:5">
      <c r="C225" s="239" t="s">
        <v>399</v>
      </c>
      <c r="E225"/>
    </row>
    <row r="226" spans="3:5">
      <c r="C226" s="239" t="s">
        <v>423</v>
      </c>
      <c r="E226"/>
    </row>
    <row r="227" spans="3:5">
      <c r="C227" s="239" t="s">
        <v>424</v>
      </c>
      <c r="E227"/>
    </row>
    <row r="228" spans="3:5">
      <c r="C228" s="239" t="s">
        <v>791</v>
      </c>
      <c r="E228"/>
    </row>
    <row r="229" spans="3:5">
      <c r="C229" s="239" t="s">
        <v>427</v>
      </c>
      <c r="E229"/>
    </row>
    <row r="230" spans="3:5">
      <c r="C230" s="239" t="s">
        <v>428</v>
      </c>
      <c r="E230"/>
    </row>
    <row r="231" spans="3:5">
      <c r="C231" s="239" t="s">
        <v>429</v>
      </c>
      <c r="E231"/>
    </row>
    <row r="232" spans="3:5">
      <c r="C232" s="239" t="s">
        <v>430</v>
      </c>
      <c r="E232"/>
    </row>
    <row r="233" spans="3:5">
      <c r="C233" s="239" t="s">
        <v>442</v>
      </c>
      <c r="E233"/>
    </row>
    <row r="234" spans="3:5">
      <c r="C234" s="239" t="s">
        <v>444</v>
      </c>
      <c r="E234"/>
    </row>
    <row r="235" spans="3:5">
      <c r="C235" s="239" t="s">
        <v>445</v>
      </c>
      <c r="E235"/>
    </row>
    <row r="236" spans="3:5">
      <c r="C236" s="239" t="s">
        <v>446</v>
      </c>
      <c r="E236"/>
    </row>
    <row r="237" spans="3:5">
      <c r="C237" s="239" t="s">
        <v>487</v>
      </c>
      <c r="E237"/>
    </row>
    <row r="238" spans="3:5">
      <c r="C238" s="239" t="s">
        <v>488</v>
      </c>
      <c r="E238"/>
    </row>
    <row r="239" spans="3:5">
      <c r="C239" s="239" t="s">
        <v>489</v>
      </c>
      <c r="E239"/>
    </row>
    <row r="240" spans="3:5">
      <c r="C240" s="239" t="s">
        <v>490</v>
      </c>
      <c r="E240"/>
    </row>
    <row r="241" spans="3:5">
      <c r="C241" s="239" t="s">
        <v>460</v>
      </c>
      <c r="E241"/>
    </row>
    <row r="242" spans="3:5">
      <c r="C242" s="257" t="s">
        <v>461</v>
      </c>
      <c r="E242"/>
    </row>
    <row r="243" spans="3:5">
      <c r="C243" s="257" t="s">
        <v>449</v>
      </c>
      <c r="E243"/>
    </row>
    <row r="244" spans="3:5">
      <c r="C244" s="239" t="s">
        <v>503</v>
      </c>
      <c r="E244"/>
    </row>
    <row r="245" spans="3:5">
      <c r="C245" s="239" t="s">
        <v>504</v>
      </c>
      <c r="E245"/>
    </row>
    <row r="246" spans="3:5">
      <c r="C246" s="37" t="s">
        <v>986</v>
      </c>
      <c r="E246"/>
    </row>
    <row r="247" spans="3:5">
      <c r="C247" s="57" t="s">
        <v>837</v>
      </c>
      <c r="E247"/>
    </row>
    <row r="248" spans="3:5">
      <c r="C248" s="239" t="s">
        <v>726</v>
      </c>
      <c r="E248"/>
    </row>
    <row r="249" spans="3:5">
      <c r="C249" s="239" t="s">
        <v>506</v>
      </c>
      <c r="E249"/>
    </row>
    <row r="250" spans="3:5">
      <c r="C250" s="239" t="s">
        <v>507</v>
      </c>
      <c r="E250"/>
    </row>
    <row r="251" spans="3:5">
      <c r="C251" s="230" t="s">
        <v>478</v>
      </c>
      <c r="E251"/>
    </row>
    <row r="252" spans="3:5">
      <c r="C252" s="230" t="s">
        <v>479</v>
      </c>
      <c r="E252"/>
    </row>
    <row r="253" spans="3:5">
      <c r="C253" s="230" t="s">
        <v>636</v>
      </c>
      <c r="E253"/>
    </row>
    <row r="254" spans="3:5">
      <c r="C254" s="230" t="s">
        <v>640</v>
      </c>
      <c r="E254"/>
    </row>
    <row r="255" spans="3:5">
      <c r="C255" s="37" t="s">
        <v>1083</v>
      </c>
      <c r="E255"/>
    </row>
    <row r="256" spans="3:5">
      <c r="C256" s="37" t="s">
        <v>1084</v>
      </c>
      <c r="E256"/>
    </row>
    <row r="257" spans="3:5">
      <c r="C257" s="230" t="s">
        <v>609</v>
      </c>
      <c r="E257"/>
    </row>
    <row r="258" spans="3:5">
      <c r="C258" s="37" t="s">
        <v>784</v>
      </c>
      <c r="E258"/>
    </row>
    <row r="259" spans="3:5">
      <c r="C259" s="37" t="s">
        <v>846</v>
      </c>
      <c r="E259"/>
    </row>
    <row r="260" spans="3:5">
      <c r="C260" s="37" t="s">
        <v>996</v>
      </c>
      <c r="E260"/>
    </row>
    <row r="261" spans="3:5">
      <c r="C261" s="37" t="s">
        <v>1154</v>
      </c>
      <c r="E261"/>
    </row>
    <row r="262" spans="3:5">
      <c r="C262" s="37" t="s">
        <v>1018</v>
      </c>
      <c r="E262"/>
    </row>
    <row r="263" spans="3:5">
      <c r="C263" s="230" t="s">
        <v>606</v>
      </c>
      <c r="E263"/>
    </row>
    <row r="264" spans="3:5">
      <c r="C264" s="230" t="s">
        <v>677</v>
      </c>
      <c r="E264"/>
    </row>
  </sheetData>
  <autoFilter ref="E1:E264"/>
  <sortState ref="E3:E173">
    <sortCondition ref="E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opLeftCell="A3" workbookViewId="0">
      <selection activeCell="D28" sqref="D28"/>
    </sheetView>
  </sheetViews>
  <sheetFormatPr defaultRowHeight="18"/>
  <cols>
    <col min="2" max="2" width="26.08984375" customWidth="1"/>
    <col min="4" max="4" width="11.1796875" bestFit="1" customWidth="1"/>
    <col min="5" max="5" width="12.54296875" customWidth="1"/>
  </cols>
  <sheetData>
    <row r="1" spans="1:6">
      <c r="D1">
        <v>2023</v>
      </c>
      <c r="E1">
        <v>2024</v>
      </c>
      <c r="F1">
        <v>2025</v>
      </c>
    </row>
    <row r="2" spans="1:6">
      <c r="B2" s="491" t="s">
        <v>1184</v>
      </c>
      <c r="C2" s="491"/>
      <c r="D2" s="492" t="e">
        <f>D3+D13+D29+D41+D52</f>
        <v>#REF!</v>
      </c>
      <c r="E2" s="492" t="e">
        <f>E3+E13+E29+E41+E52</f>
        <v>#REF!</v>
      </c>
      <c r="F2" s="492" t="e">
        <f>F3+F13+F29+F41+F52</f>
        <v>#REF!</v>
      </c>
    </row>
    <row r="3" spans="1:6">
      <c r="B3" s="491" t="s">
        <v>1173</v>
      </c>
      <c r="C3" s="491"/>
      <c r="D3" s="492" t="e">
        <f>D4+D6</f>
        <v>#REF!</v>
      </c>
      <c r="E3" s="492" t="e">
        <f t="shared" ref="E3:F3" si="0">E4+E6</f>
        <v>#REF!</v>
      </c>
      <c r="F3" s="492" t="e">
        <f t="shared" si="0"/>
        <v>#REF!</v>
      </c>
    </row>
    <row r="4" spans="1:6" ht="25.5">
      <c r="B4" s="488" t="s">
        <v>853</v>
      </c>
      <c r="C4" s="489" t="s">
        <v>852</v>
      </c>
      <c r="D4" s="490">
        <f>D5</f>
        <v>220289.09000000003</v>
      </c>
      <c r="E4" s="490">
        <f t="shared" ref="E4:F4" si="1">E5</f>
        <v>138328.26</v>
      </c>
      <c r="F4" s="490">
        <f t="shared" si="1"/>
        <v>49755.360000000001</v>
      </c>
    </row>
    <row r="5" spans="1:6" ht="51">
      <c r="A5" t="s">
        <v>1178</v>
      </c>
      <c r="B5" s="48" t="s">
        <v>951</v>
      </c>
      <c r="C5" s="37" t="s">
        <v>855</v>
      </c>
      <c r="D5" s="183">
        <f>'Вед-я стр-ра'!H782</f>
        <v>220289.09000000003</v>
      </c>
      <c r="E5" s="183">
        <f>'Вед-я стр-ра'!I782</f>
        <v>138328.26</v>
      </c>
      <c r="F5" s="183">
        <f>'Вед-я стр-ра'!J782</f>
        <v>49755.360000000001</v>
      </c>
    </row>
    <row r="6" spans="1:6" ht="25.5">
      <c r="B6" s="488" t="s">
        <v>1069</v>
      </c>
      <c r="C6" s="489" t="s">
        <v>1048</v>
      </c>
      <c r="D6" s="490" t="e">
        <f>D7+D10</f>
        <v>#REF!</v>
      </c>
      <c r="E6" s="490" t="e">
        <f t="shared" ref="E6:F6" si="2">E7+E10</f>
        <v>#REF!</v>
      </c>
      <c r="F6" s="490" t="e">
        <f t="shared" si="2"/>
        <v>#REF!</v>
      </c>
    </row>
    <row r="7" spans="1:6" ht="38.25">
      <c r="B7" s="182" t="s">
        <v>1072</v>
      </c>
      <c r="C7" s="37" t="s">
        <v>1030</v>
      </c>
      <c r="D7" s="183" t="e">
        <f>'Вед-я стр-ра'!#REF!</f>
        <v>#REF!</v>
      </c>
      <c r="E7" s="183" t="e">
        <f t="shared" ref="E7" si="3">E8+E9</f>
        <v>#REF!</v>
      </c>
      <c r="F7" s="183" t="e">
        <f t="shared" ref="F7" si="4">F8+F9</f>
        <v>#REF!</v>
      </c>
    </row>
    <row r="8" spans="1:6">
      <c r="B8" s="182" t="s">
        <v>813</v>
      </c>
      <c r="C8" s="37"/>
      <c r="D8" s="183" t="e">
        <f>'Вед-я стр-ра'!#REF!</f>
        <v>#REF!</v>
      </c>
      <c r="E8" s="183" t="e">
        <f>'Вед-я стр-ра'!#REF!</f>
        <v>#REF!</v>
      </c>
      <c r="F8" s="183" t="e">
        <f>'Вед-я стр-ра'!#REF!</f>
        <v>#REF!</v>
      </c>
    </row>
    <row r="9" spans="1:6" ht="25.5">
      <c r="A9" t="s">
        <v>1178</v>
      </c>
      <c r="B9" s="182" t="s">
        <v>812</v>
      </c>
      <c r="C9" s="37"/>
      <c r="D9" s="183" t="e">
        <f>'Вед-я стр-ра'!#REF!</f>
        <v>#REF!</v>
      </c>
      <c r="E9" s="183"/>
      <c r="F9" s="183"/>
    </row>
    <row r="10" spans="1:6" ht="38.25">
      <c r="B10" s="182" t="s">
        <v>1072</v>
      </c>
      <c r="C10" s="37" t="s">
        <v>1071</v>
      </c>
      <c r="D10" s="183" t="e">
        <f>D11+D12</f>
        <v>#REF!</v>
      </c>
      <c r="E10" s="183" t="e">
        <f t="shared" ref="E10:F10" si="5">E11+E12</f>
        <v>#REF!</v>
      </c>
      <c r="F10" s="183" t="e">
        <f t="shared" si="5"/>
        <v>#REF!</v>
      </c>
    </row>
    <row r="11" spans="1:6">
      <c r="B11" s="182" t="s">
        <v>813</v>
      </c>
      <c r="C11" s="37"/>
      <c r="D11" s="183" t="e">
        <f>'Вед-я стр-ра'!#REF!</f>
        <v>#REF!</v>
      </c>
      <c r="E11" s="183" t="e">
        <f>'Вед-я стр-ра'!#REF!</f>
        <v>#REF!</v>
      </c>
      <c r="F11" s="183" t="e">
        <f>'Вед-я стр-ра'!#REF!</f>
        <v>#REF!</v>
      </c>
    </row>
    <row r="12" spans="1:6" ht="25.5">
      <c r="A12" t="s">
        <v>1178</v>
      </c>
      <c r="B12" s="182" t="s">
        <v>812</v>
      </c>
      <c r="C12" s="37"/>
      <c r="D12" s="183" t="e">
        <f>'Вед-я стр-ра'!#REF!</f>
        <v>#REF!</v>
      </c>
      <c r="E12" s="183" t="e">
        <f>'Вед-я стр-ра'!#REF!</f>
        <v>#REF!</v>
      </c>
      <c r="F12" s="183" t="e">
        <f>'Вед-я стр-ра'!#REF!</f>
        <v>#REF!</v>
      </c>
    </row>
    <row r="13" spans="1:6">
      <c r="B13" s="491" t="s">
        <v>1175</v>
      </c>
      <c r="C13" s="491"/>
      <c r="D13" s="492" t="e">
        <f>D14</f>
        <v>#REF!</v>
      </c>
      <c r="E13" s="492" t="e">
        <f t="shared" ref="E13:F13" si="6">E14</f>
        <v>#REF!</v>
      </c>
      <c r="F13" s="492" t="e">
        <f t="shared" si="6"/>
        <v>#REF!</v>
      </c>
    </row>
    <row r="14" spans="1:6" ht="25.5">
      <c r="B14" s="488" t="s">
        <v>1056</v>
      </c>
      <c r="C14" s="489" t="s">
        <v>1049</v>
      </c>
      <c r="D14" s="490" t="e">
        <f>D18+D21+D24</f>
        <v>#REF!</v>
      </c>
      <c r="E14" s="490" t="e">
        <f t="shared" ref="E14:F14" si="7">E18+E21+E24</f>
        <v>#REF!</v>
      </c>
      <c r="F14" s="490" t="e">
        <f t="shared" si="7"/>
        <v>#REF!</v>
      </c>
    </row>
    <row r="15" spans="1:6" ht="25.5">
      <c r="B15" s="535" t="s">
        <v>1278</v>
      </c>
      <c r="C15" s="537" t="s">
        <v>1275</v>
      </c>
      <c r="D15" s="490"/>
      <c r="E15" s="490"/>
      <c r="F15" s="490"/>
    </row>
    <row r="16" spans="1:6" ht="89.25">
      <c r="B16" s="23" t="s">
        <v>1277</v>
      </c>
      <c r="C16" s="37" t="s">
        <v>1276</v>
      </c>
      <c r="D16" s="490"/>
      <c r="E16" s="490"/>
      <c r="F16" s="490"/>
    </row>
    <row r="17" spans="1:6">
      <c r="B17" s="65" t="s">
        <v>132</v>
      </c>
      <c r="C17" s="37" t="s">
        <v>1276</v>
      </c>
      <c r="D17" s="490">
        <f>'Вед-я стр-ра'!H382</f>
        <v>0</v>
      </c>
      <c r="E17" s="490">
        <f>'Вед-я стр-ра'!I382</f>
        <v>22231.89</v>
      </c>
      <c r="F17" s="490">
        <f>'Вед-я стр-ра'!J382</f>
        <v>0</v>
      </c>
    </row>
    <row r="18" spans="1:6" ht="51">
      <c r="B18" s="182" t="s">
        <v>1172</v>
      </c>
      <c r="C18" s="37" t="s">
        <v>1171</v>
      </c>
      <c r="D18" s="183" t="e">
        <f>D19+D20</f>
        <v>#REF!</v>
      </c>
      <c r="E18" s="183" t="e">
        <f t="shared" ref="E18" si="8">E19+E20</f>
        <v>#REF!</v>
      </c>
      <c r="F18" s="183" t="e">
        <f t="shared" ref="F18" si="9">F19+F20</f>
        <v>#REF!</v>
      </c>
    </row>
    <row r="19" spans="1:6">
      <c r="B19" s="182" t="s">
        <v>813</v>
      </c>
      <c r="C19" s="37"/>
      <c r="D19" s="183" t="e">
        <f>'Вед-я стр-ра'!#REF!</f>
        <v>#REF!</v>
      </c>
      <c r="E19" s="183" t="e">
        <f>'Вед-я стр-ра'!#REF!</f>
        <v>#REF!</v>
      </c>
      <c r="F19" s="183" t="e">
        <f>'Вед-я стр-ра'!#REF!</f>
        <v>#REF!</v>
      </c>
    </row>
    <row r="20" spans="1:6" ht="25.5">
      <c r="A20" t="s">
        <v>1178</v>
      </c>
      <c r="B20" s="182" t="s">
        <v>812</v>
      </c>
      <c r="C20" s="37"/>
      <c r="D20" s="183" t="e">
        <f>'Вед-я стр-ра'!#REF!</f>
        <v>#REF!</v>
      </c>
      <c r="E20" s="183" t="e">
        <f>'Вед-я стр-ра'!#REF!</f>
        <v>#REF!</v>
      </c>
      <c r="F20" s="183" t="e">
        <f>'Вед-я стр-ра'!#REF!</f>
        <v>#REF!</v>
      </c>
    </row>
    <row r="21" spans="1:6" ht="38.25">
      <c r="B21" s="182" t="s">
        <v>1134</v>
      </c>
      <c r="C21" s="37" t="s">
        <v>1047</v>
      </c>
      <c r="D21" s="183" t="e">
        <f>D22+D23</f>
        <v>#REF!</v>
      </c>
      <c r="E21" s="183" t="e">
        <f t="shared" ref="E21" si="10">E22+E23</f>
        <v>#REF!</v>
      </c>
      <c r="F21" s="183" t="e">
        <f t="shared" ref="F21" si="11">F22+F23</f>
        <v>#REF!</v>
      </c>
    </row>
    <row r="22" spans="1:6">
      <c r="B22" s="182" t="s">
        <v>813</v>
      </c>
      <c r="C22" s="37"/>
      <c r="D22" s="183" t="e">
        <f>'Вед-я стр-ра'!#REF!</f>
        <v>#REF!</v>
      </c>
      <c r="E22" s="183" t="e">
        <f>'Вед-я стр-ра'!#REF!</f>
        <v>#REF!</v>
      </c>
      <c r="F22" s="183" t="e">
        <f>'Вед-я стр-ра'!#REF!</f>
        <v>#REF!</v>
      </c>
    </row>
    <row r="23" spans="1:6" ht="25.5">
      <c r="A23" t="s">
        <v>1178</v>
      </c>
      <c r="B23" s="182" t="s">
        <v>812</v>
      </c>
      <c r="C23" s="37"/>
      <c r="D23" s="183" t="e">
        <f>'Вед-я стр-ра'!#REF!</f>
        <v>#REF!</v>
      </c>
      <c r="E23" s="183" t="e">
        <f>'Вед-я стр-ра'!#REF!</f>
        <v>#REF!</v>
      </c>
      <c r="F23" s="183" t="e">
        <f>'Вед-я стр-ра'!#REF!</f>
        <v>#REF!</v>
      </c>
    </row>
    <row r="24" spans="1:6" ht="38.25">
      <c r="B24" s="182" t="s">
        <v>1134</v>
      </c>
      <c r="C24" s="37" t="s">
        <v>1109</v>
      </c>
      <c r="D24" s="183" t="e">
        <f>D25+D26</f>
        <v>#REF!</v>
      </c>
      <c r="E24" s="183" t="e">
        <f t="shared" ref="E24" si="12">E25+E26</f>
        <v>#REF!</v>
      </c>
      <c r="F24" s="183" t="e">
        <f t="shared" ref="F24" si="13">F25+F26</f>
        <v>#REF!</v>
      </c>
    </row>
    <row r="25" spans="1:6">
      <c r="B25" s="182" t="s">
        <v>813</v>
      </c>
      <c r="C25" s="37"/>
      <c r="D25" s="183" t="e">
        <f>'Вед-я стр-ра'!#REF!</f>
        <v>#REF!</v>
      </c>
      <c r="E25" s="183" t="e">
        <f>'Вед-я стр-ра'!#REF!</f>
        <v>#REF!</v>
      </c>
      <c r="F25" s="183" t="e">
        <f>'Вед-я стр-ра'!#REF!</f>
        <v>#REF!</v>
      </c>
    </row>
    <row r="26" spans="1:6" ht="25.5">
      <c r="A26" t="s">
        <v>1178</v>
      </c>
      <c r="B26" s="182" t="s">
        <v>812</v>
      </c>
      <c r="C26" s="37"/>
      <c r="D26" s="183" t="e">
        <f>'Вед-я стр-ра'!#REF!</f>
        <v>#REF!</v>
      </c>
      <c r="E26" s="183" t="e">
        <f>'Вед-я стр-ра'!#REF!</f>
        <v>#REF!</v>
      </c>
      <c r="F26" s="183" t="e">
        <f>'Вед-я стр-ра'!#REF!</f>
        <v>#REF!</v>
      </c>
    </row>
    <row r="27" spans="1:6" ht="38.25">
      <c r="B27" s="535" t="s">
        <v>1272</v>
      </c>
      <c r="C27" s="537" t="s">
        <v>1271</v>
      </c>
      <c r="D27" s="490"/>
      <c r="E27" s="490"/>
      <c r="F27" s="490"/>
    </row>
    <row r="28" spans="1:6" ht="63.75">
      <c r="B28" s="23" t="s">
        <v>1273</v>
      </c>
      <c r="C28" s="537"/>
      <c r="D28" s="490">
        <f>'Вед-я стр-ра'!H384</f>
        <v>9337.14</v>
      </c>
      <c r="E28" s="490">
        <f>'Вед-я стр-ра'!I384</f>
        <v>9337.14</v>
      </c>
      <c r="F28" s="490">
        <f>'Вед-я стр-ра'!J384</f>
        <v>9337.14</v>
      </c>
    </row>
    <row r="29" spans="1:6" ht="33.75" customHeight="1">
      <c r="B29" s="568" t="s">
        <v>1174</v>
      </c>
      <c r="C29" s="569"/>
      <c r="D29" s="492" t="e">
        <f>D30+D34+D38</f>
        <v>#REF!</v>
      </c>
      <c r="E29" s="492" t="e">
        <f t="shared" ref="E29:F29" si="14">E30+E34+E38</f>
        <v>#REF!</v>
      </c>
      <c r="F29" s="492" t="e">
        <f t="shared" si="14"/>
        <v>#REF!</v>
      </c>
    </row>
    <row r="30" spans="1:6" ht="25.5">
      <c r="B30" s="488" t="s">
        <v>1065</v>
      </c>
      <c r="C30" s="489" t="s">
        <v>1066</v>
      </c>
      <c r="D30" s="490" t="e">
        <f>D31</f>
        <v>#REF!</v>
      </c>
      <c r="E30" s="490" t="e">
        <f t="shared" ref="E30:F30" si="15">E31</f>
        <v>#REF!</v>
      </c>
      <c r="F30" s="490" t="e">
        <f t="shared" si="15"/>
        <v>#REF!</v>
      </c>
    </row>
    <row r="31" spans="1:6" ht="38.25">
      <c r="B31" s="182" t="s">
        <v>1024</v>
      </c>
      <c r="C31" s="37" t="s">
        <v>961</v>
      </c>
      <c r="D31" s="183" t="e">
        <f>D32+D33</f>
        <v>#REF!</v>
      </c>
      <c r="E31" s="183" t="e">
        <f t="shared" ref="E31" si="16">E32+E33</f>
        <v>#REF!</v>
      </c>
      <c r="F31" s="183" t="e">
        <f t="shared" ref="F31" si="17">F32+F33</f>
        <v>#REF!</v>
      </c>
    </row>
    <row r="32" spans="1:6">
      <c r="B32" s="182" t="s">
        <v>813</v>
      </c>
      <c r="C32" s="37"/>
      <c r="D32" s="183" t="e">
        <f>'Вед-я стр-ра'!#REF!</f>
        <v>#REF!</v>
      </c>
      <c r="E32" s="183" t="e">
        <f>'Вед-я стр-ра'!#REF!</f>
        <v>#REF!</v>
      </c>
      <c r="F32" s="183" t="e">
        <f>'Вед-я стр-ра'!#REF!</f>
        <v>#REF!</v>
      </c>
    </row>
    <row r="33" spans="1:6" ht="25.5">
      <c r="A33" t="s">
        <v>1178</v>
      </c>
      <c r="B33" s="182" t="s">
        <v>812</v>
      </c>
      <c r="C33" s="37"/>
      <c r="D33" s="183" t="e">
        <f>'Вед-я стр-ра'!#REF!</f>
        <v>#REF!</v>
      </c>
      <c r="E33" s="183" t="e">
        <f>'Вед-я стр-ра'!#REF!</f>
        <v>#REF!</v>
      </c>
      <c r="F33" s="183" t="e">
        <f>'Вед-я стр-ра'!#REF!</f>
        <v>#REF!</v>
      </c>
    </row>
    <row r="34" spans="1:6" ht="38.25">
      <c r="B34" s="488" t="s">
        <v>1068</v>
      </c>
      <c r="C34" s="489" t="s">
        <v>1067</v>
      </c>
      <c r="D34" s="490" t="e">
        <f>D35</f>
        <v>#REF!</v>
      </c>
      <c r="E34" s="490" t="e">
        <f t="shared" ref="E34:F34" si="18">E35</f>
        <v>#REF!</v>
      </c>
      <c r="F34" s="490" t="e">
        <f t="shared" si="18"/>
        <v>#REF!</v>
      </c>
    </row>
    <row r="35" spans="1:6" ht="63.75">
      <c r="B35" s="182" t="s">
        <v>1012</v>
      </c>
      <c r="C35" s="37" t="s">
        <v>1013</v>
      </c>
      <c r="D35" s="183" t="e">
        <f>D36+D37</f>
        <v>#REF!</v>
      </c>
      <c r="E35" s="183" t="e">
        <f t="shared" ref="E35" si="19">E36+E37</f>
        <v>#REF!</v>
      </c>
      <c r="F35" s="183" t="e">
        <f t="shared" ref="F35" si="20">F36+F37</f>
        <v>#REF!</v>
      </c>
    </row>
    <row r="36" spans="1:6">
      <c r="B36" s="182" t="s">
        <v>813</v>
      </c>
      <c r="C36" s="37"/>
      <c r="D36" s="183" t="e">
        <f>'Вед-я стр-ра'!#REF!</f>
        <v>#REF!</v>
      </c>
      <c r="E36" s="183" t="e">
        <f>'Вед-я стр-ра'!#REF!</f>
        <v>#REF!</v>
      </c>
      <c r="F36" s="183" t="e">
        <f>'Вед-я стр-ра'!#REF!</f>
        <v>#REF!</v>
      </c>
    </row>
    <row r="37" spans="1:6" ht="25.5">
      <c r="A37" t="s">
        <v>1178</v>
      </c>
      <c r="B37" s="182" t="s">
        <v>812</v>
      </c>
      <c r="C37" s="37"/>
      <c r="D37" s="183" t="e">
        <f>'Вед-я стр-ра'!#REF!</f>
        <v>#REF!</v>
      </c>
      <c r="E37" s="183" t="e">
        <f>'Вед-я стр-ра'!#REF!</f>
        <v>#REF!</v>
      </c>
      <c r="F37" s="183" t="e">
        <f>'Вед-я стр-ра'!#REF!</f>
        <v>#REF!</v>
      </c>
    </row>
    <row r="38" spans="1:6" ht="25.5">
      <c r="B38" s="488" t="s">
        <v>1057</v>
      </c>
      <c r="C38" s="489" t="s">
        <v>969</v>
      </c>
      <c r="D38" s="490">
        <f>D39</f>
        <v>798.55000000000007</v>
      </c>
      <c r="E38" s="490">
        <f t="shared" ref="E38:F38" si="21">E39</f>
        <v>798.55000000000007</v>
      </c>
      <c r="F38" s="490">
        <f t="shared" si="21"/>
        <v>798.55000000000007</v>
      </c>
    </row>
    <row r="39" spans="1:6" ht="25.5">
      <c r="B39" s="396" t="s">
        <v>1057</v>
      </c>
      <c r="C39" s="37" t="s">
        <v>970</v>
      </c>
      <c r="D39" s="183">
        <f>D40</f>
        <v>798.55000000000007</v>
      </c>
      <c r="E39" s="183">
        <f t="shared" ref="E39:F39" si="22">E40</f>
        <v>798.55000000000007</v>
      </c>
      <c r="F39" s="183">
        <f t="shared" si="22"/>
        <v>798.55000000000007</v>
      </c>
    </row>
    <row r="40" spans="1:6">
      <c r="B40" s="182" t="s">
        <v>813</v>
      </c>
      <c r="C40" s="37"/>
      <c r="D40" s="183">
        <f>'Вед-я стр-ра'!H390</f>
        <v>798.55000000000007</v>
      </c>
      <c r="E40" s="183">
        <f>'Вед-я стр-ра'!I390</f>
        <v>798.55000000000007</v>
      </c>
      <c r="F40" s="183">
        <f>'Вед-я стр-ра'!J390</f>
        <v>798.55000000000007</v>
      </c>
    </row>
    <row r="41" spans="1:6">
      <c r="B41" s="491" t="s">
        <v>1176</v>
      </c>
      <c r="C41" s="491"/>
      <c r="D41" s="492" t="e">
        <f>D42+D49</f>
        <v>#REF!</v>
      </c>
      <c r="E41" s="492" t="e">
        <f t="shared" ref="E41:F41" si="23">E42+E49</f>
        <v>#REF!</v>
      </c>
      <c r="F41" s="492" t="e">
        <f t="shared" si="23"/>
        <v>#REF!</v>
      </c>
    </row>
    <row r="42" spans="1:6" ht="25.5">
      <c r="B42" s="488" t="s">
        <v>905</v>
      </c>
      <c r="C42" s="489" t="s">
        <v>903</v>
      </c>
      <c r="D42" s="490" t="e">
        <f>D43+D46</f>
        <v>#REF!</v>
      </c>
      <c r="E42" s="490" t="e">
        <f t="shared" ref="E42:F42" si="24">E43+E46</f>
        <v>#REF!</v>
      </c>
      <c r="F42" s="490" t="e">
        <f t="shared" si="24"/>
        <v>#REF!</v>
      </c>
    </row>
    <row r="43" spans="1:6" ht="63.75">
      <c r="B43" s="182" t="s">
        <v>1079</v>
      </c>
      <c r="C43" s="37" t="s">
        <v>1078</v>
      </c>
      <c r="D43" s="183" t="e">
        <f>D44+D45</f>
        <v>#REF!</v>
      </c>
      <c r="E43" s="183" t="e">
        <f t="shared" ref="E43" si="25">E44+E45</f>
        <v>#REF!</v>
      </c>
      <c r="F43" s="183" t="e">
        <f t="shared" ref="F43" si="26">F44+F45</f>
        <v>#REF!</v>
      </c>
    </row>
    <row r="44" spans="1:6">
      <c r="B44" s="182" t="s">
        <v>813</v>
      </c>
      <c r="C44" s="37"/>
      <c r="D44" s="183" t="e">
        <f>'Вед-я стр-ра'!#REF!</f>
        <v>#REF!</v>
      </c>
      <c r="E44" s="183" t="e">
        <f>'Вед-я стр-ра'!#REF!</f>
        <v>#REF!</v>
      </c>
      <c r="F44" s="183" t="e">
        <f>'Вед-я стр-ра'!#REF!</f>
        <v>#REF!</v>
      </c>
    </row>
    <row r="45" spans="1:6" ht="25.5">
      <c r="A45" t="s">
        <v>1178</v>
      </c>
      <c r="B45" s="182" t="s">
        <v>812</v>
      </c>
      <c r="C45" s="37"/>
      <c r="D45" s="183" t="e">
        <f>'Вед-я стр-ра'!#REF!</f>
        <v>#REF!</v>
      </c>
      <c r="E45" s="183" t="e">
        <f>'Вед-я стр-ра'!#REF!</f>
        <v>#REF!</v>
      </c>
      <c r="F45" s="183" t="e">
        <f>'Вед-я стр-ра'!#REF!</f>
        <v>#REF!</v>
      </c>
    </row>
    <row r="46" spans="1:6">
      <c r="B46" s="182" t="s">
        <v>1113</v>
      </c>
      <c r="C46" s="37" t="s">
        <v>1112</v>
      </c>
      <c r="D46" s="183" t="e">
        <f>D47+D48</f>
        <v>#REF!</v>
      </c>
      <c r="E46" s="183" t="e">
        <f t="shared" ref="E46" si="27">E47+E48</f>
        <v>#REF!</v>
      </c>
      <c r="F46" s="183" t="e">
        <f t="shared" ref="F46" si="28">F47+F48</f>
        <v>#REF!</v>
      </c>
    </row>
    <row r="47" spans="1:6">
      <c r="B47" s="182" t="s">
        <v>813</v>
      </c>
      <c r="C47" s="37"/>
      <c r="D47" s="183" t="e">
        <f>'Вед-я стр-ра'!#REF!</f>
        <v>#REF!</v>
      </c>
      <c r="E47" s="183" t="e">
        <f>'Вед-я стр-ра'!#REF!</f>
        <v>#REF!</v>
      </c>
      <c r="F47" s="183" t="e">
        <f>'Вед-я стр-ра'!#REF!</f>
        <v>#REF!</v>
      </c>
    </row>
    <row r="48" spans="1:6" ht="25.5">
      <c r="A48" t="s">
        <v>1178</v>
      </c>
      <c r="B48" s="182" t="s">
        <v>812</v>
      </c>
      <c r="C48" s="37"/>
      <c r="D48" s="183" t="e">
        <f>'Вед-я стр-ра'!#REF!</f>
        <v>#REF!</v>
      </c>
      <c r="E48" s="183" t="e">
        <f>'Вед-я стр-ра'!#REF!</f>
        <v>#REF!</v>
      </c>
      <c r="F48" s="183" t="e">
        <f>'Вед-я стр-ра'!#REF!</f>
        <v>#REF!</v>
      </c>
    </row>
    <row r="49" spans="1:6" ht="25.5">
      <c r="B49" s="488" t="s">
        <v>1145</v>
      </c>
      <c r="C49" s="489" t="s">
        <v>1142</v>
      </c>
      <c r="D49" s="490">
        <f>D50</f>
        <v>1000</v>
      </c>
      <c r="E49" s="490">
        <f t="shared" ref="E49:F49" si="29">E50</f>
        <v>0</v>
      </c>
      <c r="F49" s="490">
        <f t="shared" si="29"/>
        <v>0</v>
      </c>
    </row>
    <row r="50" spans="1:6">
      <c r="B50" s="182" t="s">
        <v>1144</v>
      </c>
      <c r="C50" s="37" t="s">
        <v>1143</v>
      </c>
      <c r="D50" s="183">
        <f>D51</f>
        <v>1000</v>
      </c>
      <c r="E50" s="183">
        <f t="shared" ref="E50:F50" si="30">E51</f>
        <v>0</v>
      </c>
      <c r="F50" s="183">
        <f t="shared" si="30"/>
        <v>0</v>
      </c>
    </row>
    <row r="51" spans="1:6" ht="25.5">
      <c r="A51" t="s">
        <v>1178</v>
      </c>
      <c r="B51" s="182" t="s">
        <v>812</v>
      </c>
      <c r="C51" s="37"/>
      <c r="D51" s="183">
        <f>'Вед-я стр-ра'!H619</f>
        <v>1000</v>
      </c>
      <c r="E51" s="183">
        <f>'Вед-я стр-ра'!I619</f>
        <v>0</v>
      </c>
      <c r="F51" s="183">
        <f>'Вед-я стр-ра'!J619</f>
        <v>0</v>
      </c>
    </row>
    <row r="52" spans="1:6">
      <c r="B52" s="491" t="s">
        <v>1177</v>
      </c>
      <c r="C52" s="491"/>
      <c r="D52" s="492" t="e">
        <f>D53</f>
        <v>#REF!</v>
      </c>
      <c r="E52" s="492" t="e">
        <f t="shared" ref="E52:F52" si="31">E53</f>
        <v>#REF!</v>
      </c>
      <c r="F52" s="492" t="e">
        <f t="shared" si="31"/>
        <v>#REF!</v>
      </c>
    </row>
    <row r="53" spans="1:6" ht="25.5">
      <c r="B53" s="488" t="s">
        <v>862</v>
      </c>
      <c r="C53" s="489" t="s">
        <v>861</v>
      </c>
      <c r="D53" s="490" t="e">
        <f>D54</f>
        <v>#REF!</v>
      </c>
      <c r="E53" s="490" t="e">
        <f t="shared" ref="E53:F53" si="32">E54</f>
        <v>#REF!</v>
      </c>
      <c r="F53" s="490" t="e">
        <f t="shared" si="32"/>
        <v>#REF!</v>
      </c>
    </row>
    <row r="54" spans="1:6" ht="25.5">
      <c r="B54" s="182" t="s">
        <v>863</v>
      </c>
      <c r="C54" s="37" t="s">
        <v>1143</v>
      </c>
      <c r="D54" s="183" t="e">
        <f>D55</f>
        <v>#REF!</v>
      </c>
      <c r="E54" s="183" t="e">
        <f t="shared" ref="E54:F54" si="33">E55</f>
        <v>#REF!</v>
      </c>
      <c r="F54" s="183" t="e">
        <f t="shared" si="33"/>
        <v>#REF!</v>
      </c>
    </row>
    <row r="55" spans="1:6">
      <c r="B55" s="182" t="s">
        <v>813</v>
      </c>
      <c r="C55" s="37"/>
      <c r="D55" s="183" t="e">
        <f>'Вед-я стр-ра'!#REF!</f>
        <v>#REF!</v>
      </c>
      <c r="E55" s="183" t="e">
        <f>'Вед-я стр-ра'!#REF!</f>
        <v>#REF!</v>
      </c>
      <c r="F55" s="183" t="e">
        <f>'Вед-я стр-ра'!#REF!</f>
        <v>#REF!</v>
      </c>
    </row>
  </sheetData>
  <mergeCells count="1">
    <mergeCell ref="B29:C29"/>
  </mergeCells>
  <pageMargins left="7.874015748031496E-2" right="7.874015748031496E-2" top="0.74803149606299213" bottom="0.74803149606299213" header="0.31496062992125984" footer="0.31496062992125984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C000"/>
  </sheetPr>
  <dimension ref="A1:V905"/>
  <sheetViews>
    <sheetView showGridLines="0" view="pageBreakPreview" zoomScale="90" zoomScaleSheetLayoutView="90" workbookViewId="0">
      <pane xSplit="1" ySplit="5" topLeftCell="B287" activePane="bottomRight" state="frozen"/>
      <selection activeCell="B366" sqref="B366"/>
      <selection pane="topRight" activeCell="B366" sqref="B366"/>
      <selection pane="bottomLeft" activeCell="B366" sqref="B366"/>
      <selection pane="bottomRight" activeCell="B292" sqref="B292:C303"/>
    </sheetView>
  </sheetViews>
  <sheetFormatPr defaultColWidth="8.7265625" defaultRowHeight="20.100000000000001" customHeight="1"/>
  <cols>
    <col min="1" max="1" width="5.453125" style="348" customWidth="1"/>
    <col min="2" max="2" width="19.6328125" style="104" customWidth="1"/>
    <col min="3" max="3" width="10.26953125" style="104" customWidth="1"/>
    <col min="4" max="4" width="3.90625" style="362" customWidth="1"/>
    <col min="5" max="5" width="9.81640625" style="363" customWidth="1"/>
    <col min="6" max="6" width="11.81640625" style="363" customWidth="1"/>
    <col min="7" max="10" width="9.81640625" style="363" customWidth="1"/>
    <col min="11" max="11" width="19.6328125" style="104" customWidth="1"/>
    <col min="12" max="12" width="10.26953125" style="104" customWidth="1"/>
    <col min="13" max="13" width="3.90625" style="362" customWidth="1"/>
    <col min="14" max="14" width="9.81640625" style="363" customWidth="1"/>
    <col min="15" max="15" width="11.81640625" style="363" customWidth="1"/>
    <col min="16" max="16" width="9.81640625" style="363" customWidth="1"/>
    <col min="17" max="16384" width="8.7265625" style="104"/>
  </cols>
  <sheetData>
    <row r="1" spans="1:22" s="49" customFormat="1" ht="20.100000000000001" customHeight="1">
      <c r="A1" s="282"/>
      <c r="B1" s="94"/>
      <c r="C1" s="95"/>
      <c r="E1" s="234">
        <f>SUBTOTAL(9,E7:E897)</f>
        <v>100475201.32000005</v>
      </c>
      <c r="F1" s="234"/>
      <c r="G1" s="234">
        <v>116515957.58999996</v>
      </c>
      <c r="H1" s="527">
        <v>97101876.440000102</v>
      </c>
      <c r="I1" s="527"/>
      <c r="J1" s="527">
        <v>116515957.58999996</v>
      </c>
      <c r="K1" s="94"/>
      <c r="L1" s="95"/>
      <c r="N1" s="234">
        <v>96613917.859999955</v>
      </c>
      <c r="O1" s="234"/>
      <c r="P1" s="234">
        <v>116515957.58999996</v>
      </c>
    </row>
    <row r="2" spans="1:22" s="49" customFormat="1" ht="15.75" customHeight="1">
      <c r="A2" s="282"/>
      <c r="B2" s="94"/>
      <c r="C2" s="95"/>
      <c r="E2" s="363">
        <f>E900</f>
        <v>0</v>
      </c>
      <c r="F2" s="363">
        <f>F900</f>
        <v>0</v>
      </c>
      <c r="G2" s="363">
        <v>0</v>
      </c>
      <c r="H2" s="363">
        <v>0</v>
      </c>
      <c r="I2" s="363">
        <v>0</v>
      </c>
      <c r="J2" s="363">
        <v>0</v>
      </c>
      <c r="K2" s="94"/>
      <c r="L2" s="95"/>
      <c r="N2" s="363">
        <v>0</v>
      </c>
      <c r="O2" s="363">
        <v>0</v>
      </c>
      <c r="P2" s="363">
        <v>0</v>
      </c>
    </row>
    <row r="3" spans="1:22" s="49" customFormat="1" ht="6.75" customHeight="1">
      <c r="A3" s="282"/>
      <c r="E3" s="96"/>
      <c r="F3" s="96"/>
      <c r="G3" s="96"/>
      <c r="H3" s="96"/>
      <c r="I3" s="96"/>
      <c r="J3" s="96"/>
      <c r="N3" s="96"/>
      <c r="O3" s="96"/>
      <c r="P3" s="96"/>
    </row>
    <row r="4" spans="1:22" s="49" customFormat="1" ht="16.5" customHeight="1" thickBot="1">
      <c r="A4" s="282"/>
      <c r="E4" s="96"/>
      <c r="F4" s="96"/>
      <c r="G4" s="96" t="s">
        <v>1133</v>
      </c>
      <c r="H4" s="96"/>
      <c r="I4" s="96"/>
      <c r="J4" s="96" t="s">
        <v>1262</v>
      </c>
      <c r="N4" s="96"/>
      <c r="O4" s="96"/>
      <c r="P4" s="96" t="s">
        <v>1133</v>
      </c>
    </row>
    <row r="5" spans="1:22" s="355" customFormat="1" ht="20.100000000000001" customHeight="1" thickBot="1">
      <c r="A5" s="354"/>
      <c r="B5" s="230" t="s">
        <v>22</v>
      </c>
      <c r="C5" s="230" t="s">
        <v>77</v>
      </c>
      <c r="D5" s="231" t="s">
        <v>78</v>
      </c>
      <c r="E5" s="139" t="s">
        <v>977</v>
      </c>
      <c r="F5" s="139" t="s">
        <v>1032</v>
      </c>
      <c r="G5" s="139" t="s">
        <v>1135</v>
      </c>
      <c r="H5" s="528" t="s">
        <v>977</v>
      </c>
      <c r="I5" s="528" t="s">
        <v>1032</v>
      </c>
      <c r="J5" s="528" t="s">
        <v>1135</v>
      </c>
      <c r="K5" s="230" t="s">
        <v>22</v>
      </c>
      <c r="L5" s="230" t="s">
        <v>77</v>
      </c>
      <c r="M5" s="231" t="s">
        <v>78</v>
      </c>
      <c r="N5" s="139" t="s">
        <v>977</v>
      </c>
      <c r="O5" s="139" t="s">
        <v>1032</v>
      </c>
      <c r="P5" s="139" t="s">
        <v>1135</v>
      </c>
    </row>
    <row r="6" spans="1:22" s="97" customFormat="1" ht="20.100000000000001" customHeight="1">
      <c r="A6" s="222"/>
      <c r="B6" s="230">
        <v>1</v>
      </c>
      <c r="C6" s="230">
        <v>2</v>
      </c>
      <c r="D6" s="230">
        <v>3</v>
      </c>
      <c r="E6" s="283">
        <v>5</v>
      </c>
      <c r="F6" s="283">
        <v>6</v>
      </c>
      <c r="G6" s="283">
        <v>7</v>
      </c>
      <c r="H6" s="283">
        <v>5</v>
      </c>
      <c r="I6" s="283">
        <v>6</v>
      </c>
      <c r="J6" s="283">
        <v>7</v>
      </c>
      <c r="K6" s="230">
        <v>1</v>
      </c>
      <c r="L6" s="230">
        <v>2</v>
      </c>
      <c r="M6" s="230">
        <v>3</v>
      </c>
      <c r="N6" s="283">
        <v>5</v>
      </c>
      <c r="O6" s="283">
        <v>6</v>
      </c>
      <c r="P6" s="283">
        <v>7</v>
      </c>
    </row>
    <row r="7" spans="1:22" s="101" customFormat="1" ht="33" customHeight="1">
      <c r="A7" s="222"/>
      <c r="B7" s="232" t="s">
        <v>647</v>
      </c>
      <c r="C7" s="233" t="s">
        <v>316</v>
      </c>
      <c r="D7" s="233" t="s">
        <v>90</v>
      </c>
      <c r="E7" s="234">
        <f>E8+E86</f>
        <v>8566509.5999999978</v>
      </c>
      <c r="F7" s="234">
        <f>F8+F86</f>
        <v>8607100.3399999999</v>
      </c>
      <c r="G7" s="234">
        <f>G8+G86</f>
        <v>6512090.709999999</v>
      </c>
      <c r="H7" s="234">
        <v>8336568.7699999996</v>
      </c>
      <c r="I7" s="234">
        <v>7964814.4299999997</v>
      </c>
      <c r="J7" s="234">
        <v>5885431.6500000004</v>
      </c>
      <c r="K7" s="232" t="s">
        <v>647</v>
      </c>
      <c r="L7" s="233" t="s">
        <v>316</v>
      </c>
      <c r="M7" s="233" t="s">
        <v>90</v>
      </c>
      <c r="N7" s="234">
        <v>8308368.8600000013</v>
      </c>
      <c r="O7" s="234">
        <v>7936614.5200000005</v>
      </c>
      <c r="P7" s="234">
        <v>5871416.6800000006</v>
      </c>
      <c r="Q7" s="101" t="b">
        <f>B7=K7</f>
        <v>1</v>
      </c>
      <c r="R7" s="101" t="b">
        <f>C7=L7</f>
        <v>1</v>
      </c>
      <c r="S7" s="101" t="b">
        <f>D7=M7</f>
        <v>1</v>
      </c>
      <c r="T7" s="167">
        <f>E7-N7</f>
        <v>258140.7399999965</v>
      </c>
      <c r="U7" s="167">
        <f>F7-O7</f>
        <v>670485.81999999937</v>
      </c>
      <c r="V7" s="167">
        <f>G7-P7</f>
        <v>640674.0299999984</v>
      </c>
    </row>
    <row r="8" spans="1:22" s="102" customFormat="1" ht="20.100000000000001" customHeight="1">
      <c r="A8" s="346"/>
      <c r="B8" s="235" t="s">
        <v>740</v>
      </c>
      <c r="C8" s="236" t="s">
        <v>317</v>
      </c>
      <c r="D8" s="236" t="s">
        <v>90</v>
      </c>
      <c r="E8" s="237">
        <f>E9+E23+E42+E57+E65+E74+E53+E46+E82</f>
        <v>7910323.8499999987</v>
      </c>
      <c r="F8" s="237">
        <f>F9+F23+F42+F57+F65+F74+F53+F46+F82</f>
        <v>6521950.2599999998</v>
      </c>
      <c r="G8" s="237">
        <f>G9+G23+G42+G57+G65+G74+G53+G46+G82</f>
        <v>6512090.709999999</v>
      </c>
      <c r="H8" s="237">
        <v>7680383.0199999996</v>
      </c>
      <c r="I8" s="237">
        <v>5879664.3499999996</v>
      </c>
      <c r="J8" s="237">
        <v>5885431.6500000004</v>
      </c>
      <c r="K8" s="235" t="s">
        <v>740</v>
      </c>
      <c r="L8" s="236" t="s">
        <v>317</v>
      </c>
      <c r="M8" s="236" t="s">
        <v>90</v>
      </c>
      <c r="N8" s="237">
        <v>7652183.1100000013</v>
      </c>
      <c r="O8" s="237">
        <v>5851464.4400000004</v>
      </c>
      <c r="P8" s="237">
        <v>5871416.6800000006</v>
      </c>
      <c r="Q8" s="101" t="b">
        <f t="shared" ref="Q8:Q63" si="0">B8=K8</f>
        <v>1</v>
      </c>
      <c r="R8" s="101" t="b">
        <f t="shared" ref="R8:R63" si="1">C8=L8</f>
        <v>1</v>
      </c>
      <c r="S8" s="101" t="b">
        <f t="shared" ref="S8:S63" si="2">D8=M8</f>
        <v>1</v>
      </c>
      <c r="T8" s="167">
        <f t="shared" ref="T8:T63" si="3">E8-N8</f>
        <v>258140.73999999743</v>
      </c>
      <c r="U8" s="167">
        <f t="shared" ref="U8:U63" si="4">F8-O8</f>
        <v>670485.81999999937</v>
      </c>
      <c r="V8" s="167">
        <f t="shared" ref="V8:V63" si="5">G8-P8</f>
        <v>640674.0299999984</v>
      </c>
    </row>
    <row r="9" spans="1:22" s="97" customFormat="1" ht="20.100000000000001" customHeight="1">
      <c r="A9" s="222"/>
      <c r="B9" s="180" t="s">
        <v>524</v>
      </c>
      <c r="C9" s="238" t="s">
        <v>318</v>
      </c>
      <c r="D9" s="239" t="s">
        <v>90</v>
      </c>
      <c r="E9" s="240">
        <f>E10+E17+E14+E79</f>
        <v>2595591.96</v>
      </c>
      <c r="F9" s="240">
        <f>F10+F17+F14+F79</f>
        <v>2627823.8600000003</v>
      </c>
      <c r="G9" s="240">
        <f>G10+G17+G14+G79</f>
        <v>2611380.9500000002</v>
      </c>
      <c r="H9" s="240">
        <v>2593499.54</v>
      </c>
      <c r="I9" s="240">
        <v>2605591.9700000002</v>
      </c>
      <c r="J9" s="240">
        <v>2611380.9500000002</v>
      </c>
      <c r="K9" s="180" t="s">
        <v>524</v>
      </c>
      <c r="L9" s="238" t="s">
        <v>318</v>
      </c>
      <c r="M9" s="239" t="s">
        <v>90</v>
      </c>
      <c r="N9" s="240">
        <v>2578513.06</v>
      </c>
      <c r="O9" s="240">
        <v>2590605.4900000002</v>
      </c>
      <c r="P9" s="240">
        <v>2596394.4700000002</v>
      </c>
      <c r="Q9" s="101" t="b">
        <f t="shared" si="0"/>
        <v>1</v>
      </c>
      <c r="R9" s="101" t="b">
        <f t="shared" si="1"/>
        <v>1</v>
      </c>
      <c r="S9" s="101" t="b">
        <f t="shared" si="2"/>
        <v>1</v>
      </c>
      <c r="T9" s="167">
        <f t="shared" si="3"/>
        <v>17078.899999999907</v>
      </c>
      <c r="U9" s="167">
        <f t="shared" si="4"/>
        <v>37218.370000000112</v>
      </c>
      <c r="V9" s="167">
        <f t="shared" si="5"/>
        <v>14986.479999999981</v>
      </c>
    </row>
    <row r="10" spans="1:22" s="97" customFormat="1" ht="20.100000000000001" customHeight="1">
      <c r="A10" s="222"/>
      <c r="B10" s="180" t="s">
        <v>254</v>
      </c>
      <c r="C10" s="238" t="s">
        <v>319</v>
      </c>
      <c r="D10" s="239" t="s">
        <v>90</v>
      </c>
      <c r="E10" s="240">
        <f>E11+E12+E13</f>
        <v>1314245.8399999999</v>
      </c>
      <c r="F10" s="240">
        <f t="shared" ref="F10:G10" si="6">F11+F12+F13</f>
        <v>1326338.2699999998</v>
      </c>
      <c r="G10" s="240">
        <f t="shared" si="6"/>
        <v>1332127.25</v>
      </c>
      <c r="H10" s="240">
        <v>1314245.8399999999</v>
      </c>
      <c r="I10" s="240">
        <v>1326338.2699999998</v>
      </c>
      <c r="J10" s="240">
        <v>1332127.25</v>
      </c>
      <c r="K10" s="180" t="s">
        <v>254</v>
      </c>
      <c r="L10" s="238" t="s">
        <v>319</v>
      </c>
      <c r="M10" s="239" t="s">
        <v>90</v>
      </c>
      <c r="N10" s="240">
        <v>1299259.3600000001</v>
      </c>
      <c r="O10" s="240">
        <v>1311351.79</v>
      </c>
      <c r="P10" s="240">
        <v>1317140.77</v>
      </c>
      <c r="Q10" s="101" t="b">
        <f t="shared" si="0"/>
        <v>1</v>
      </c>
      <c r="R10" s="101" t="b">
        <f t="shared" si="1"/>
        <v>1</v>
      </c>
      <c r="S10" s="101" t="b">
        <f t="shared" si="2"/>
        <v>1</v>
      </c>
      <c r="T10" s="167">
        <f t="shared" si="3"/>
        <v>14986.479999999749</v>
      </c>
      <c r="U10" s="167">
        <f t="shared" si="4"/>
        <v>14986.479999999749</v>
      </c>
      <c r="V10" s="167">
        <f t="shared" si="5"/>
        <v>14986.479999999981</v>
      </c>
    </row>
    <row r="11" spans="1:22" s="97" customFormat="1" ht="20.100000000000001" customHeight="1">
      <c r="A11" s="222"/>
      <c r="B11" s="180" t="s">
        <v>132</v>
      </c>
      <c r="C11" s="238" t="s">
        <v>319</v>
      </c>
      <c r="D11" s="239" t="s">
        <v>171</v>
      </c>
      <c r="E11" s="240">
        <f>'Вед-я стр-ра'!H325</f>
        <v>1267945.1499999999</v>
      </c>
      <c r="F11" s="240">
        <f>'Вед-я стр-ра'!I325</f>
        <v>1279959.0999999999</v>
      </c>
      <c r="G11" s="240">
        <f>'Вед-я стр-ра'!J325</f>
        <v>1285513.44</v>
      </c>
      <c r="H11" s="240">
        <v>1267945.1499999999</v>
      </c>
      <c r="I11" s="240">
        <v>1279959.0999999999</v>
      </c>
      <c r="J11" s="240">
        <v>1285513.44</v>
      </c>
      <c r="K11" s="180" t="s">
        <v>132</v>
      </c>
      <c r="L11" s="238" t="s">
        <v>319</v>
      </c>
      <c r="M11" s="239" t="s">
        <v>171</v>
      </c>
      <c r="N11" s="240">
        <v>1253313.75</v>
      </c>
      <c r="O11" s="240">
        <v>1265327.7</v>
      </c>
      <c r="P11" s="240">
        <v>1270882.04</v>
      </c>
      <c r="Q11" s="101" t="b">
        <f t="shared" si="0"/>
        <v>1</v>
      </c>
      <c r="R11" s="101" t="b">
        <f t="shared" si="1"/>
        <v>1</v>
      </c>
      <c r="S11" s="101" t="b">
        <f t="shared" si="2"/>
        <v>1</v>
      </c>
      <c r="T11" s="167">
        <f t="shared" si="3"/>
        <v>14631.399999999907</v>
      </c>
      <c r="U11" s="167">
        <f t="shared" si="4"/>
        <v>14631.399999999907</v>
      </c>
      <c r="V11" s="167">
        <f t="shared" si="5"/>
        <v>14631.399999999907</v>
      </c>
    </row>
    <row r="12" spans="1:22" s="97" customFormat="1" ht="20.100000000000001" customHeight="1">
      <c r="A12" s="222"/>
      <c r="B12" s="180" t="s">
        <v>133</v>
      </c>
      <c r="C12" s="238" t="s">
        <v>319</v>
      </c>
      <c r="D12" s="239" t="s">
        <v>19</v>
      </c>
      <c r="E12" s="240">
        <f>'Вед-я стр-ра'!H326</f>
        <v>44718.69</v>
      </c>
      <c r="F12" s="240">
        <f>'Вед-я стр-ра'!I326</f>
        <v>44797.17</v>
      </c>
      <c r="G12" s="240">
        <f>'Вед-я стр-ра'!J326</f>
        <v>45031.810000000005</v>
      </c>
      <c r="H12" s="240">
        <v>44718.69</v>
      </c>
      <c r="I12" s="240">
        <v>44797.17</v>
      </c>
      <c r="J12" s="240">
        <v>45031.810000000005</v>
      </c>
      <c r="K12" s="180" t="s">
        <v>133</v>
      </c>
      <c r="L12" s="238" t="s">
        <v>319</v>
      </c>
      <c r="M12" s="239" t="s">
        <v>19</v>
      </c>
      <c r="N12" s="240">
        <v>44363.61</v>
      </c>
      <c r="O12" s="240">
        <v>44442.09</v>
      </c>
      <c r="P12" s="240">
        <v>44676.73</v>
      </c>
      <c r="Q12" s="101" t="b">
        <f t="shared" si="0"/>
        <v>1</v>
      </c>
      <c r="R12" s="101" t="b">
        <f t="shared" si="1"/>
        <v>1</v>
      </c>
      <c r="S12" s="101" t="b">
        <f t="shared" si="2"/>
        <v>1</v>
      </c>
      <c r="T12" s="167">
        <f t="shared" si="3"/>
        <v>355.08000000000175</v>
      </c>
      <c r="U12" s="167">
        <f t="shared" si="4"/>
        <v>355.08000000000175</v>
      </c>
      <c r="V12" s="167">
        <f t="shared" si="5"/>
        <v>355.08000000000175</v>
      </c>
    </row>
    <row r="13" spans="1:22" s="97" customFormat="1" ht="20.100000000000001" customHeight="1">
      <c r="A13" s="222"/>
      <c r="B13" s="68" t="s">
        <v>492</v>
      </c>
      <c r="C13" s="238" t="s">
        <v>319</v>
      </c>
      <c r="D13" s="239" t="s">
        <v>139</v>
      </c>
      <c r="E13" s="240">
        <f>'Вед-я стр-ра'!H327</f>
        <v>1582</v>
      </c>
      <c r="F13" s="240">
        <f>'Вед-я стр-ра'!I327</f>
        <v>1582</v>
      </c>
      <c r="G13" s="240">
        <f>'Вед-я стр-ра'!J327</f>
        <v>1582</v>
      </c>
      <c r="H13" s="529">
        <v>1582</v>
      </c>
      <c r="I13" s="529">
        <v>1582</v>
      </c>
      <c r="J13" s="529">
        <v>1582</v>
      </c>
      <c r="K13" s="68" t="s">
        <v>492</v>
      </c>
      <c r="L13" s="238" t="s">
        <v>319</v>
      </c>
      <c r="M13" s="239" t="s">
        <v>139</v>
      </c>
      <c r="N13" s="240">
        <v>1582</v>
      </c>
      <c r="O13" s="240">
        <v>1582</v>
      </c>
      <c r="P13" s="240">
        <v>1582</v>
      </c>
      <c r="Q13" s="101" t="b">
        <f t="shared" si="0"/>
        <v>1</v>
      </c>
      <c r="R13" s="101" t="b">
        <f t="shared" si="1"/>
        <v>1</v>
      </c>
      <c r="S13" s="101" t="b">
        <f t="shared" si="2"/>
        <v>1</v>
      </c>
      <c r="T13" s="167">
        <f t="shared" si="3"/>
        <v>0</v>
      </c>
      <c r="U13" s="167">
        <f t="shared" si="4"/>
        <v>0</v>
      </c>
      <c r="V13" s="167">
        <f t="shared" si="5"/>
        <v>0</v>
      </c>
    </row>
    <row r="14" spans="1:22" s="90" customFormat="1" ht="20.100000000000001" customHeight="1">
      <c r="A14" s="347" t="s">
        <v>799</v>
      </c>
      <c r="B14" s="68" t="s">
        <v>1270</v>
      </c>
      <c r="C14" s="238" t="s">
        <v>343</v>
      </c>
      <c r="D14" s="239" t="s">
        <v>90</v>
      </c>
      <c r="E14" s="240">
        <f>SUM(E15:E16)</f>
        <v>109754.31</v>
      </c>
      <c r="F14" s="240">
        <f>SUM(F15:F16)</f>
        <v>107661.89</v>
      </c>
      <c r="G14" s="240">
        <f>SUM(G15:G16)</f>
        <v>107661.89</v>
      </c>
      <c r="H14" s="240">
        <v>107661.89</v>
      </c>
      <c r="I14" s="240">
        <v>107661.89</v>
      </c>
      <c r="J14" s="240">
        <v>107661.89</v>
      </c>
      <c r="K14" s="23" t="s">
        <v>859</v>
      </c>
      <c r="L14" s="238" t="s">
        <v>343</v>
      </c>
      <c r="M14" s="239" t="s">
        <v>90</v>
      </c>
      <c r="N14" s="240">
        <v>107661.89</v>
      </c>
      <c r="O14" s="240">
        <v>107661.89</v>
      </c>
      <c r="P14" s="240">
        <v>107661.89</v>
      </c>
      <c r="Q14" s="101" t="b">
        <f t="shared" si="0"/>
        <v>0</v>
      </c>
      <c r="R14" s="101" t="b">
        <f t="shared" si="1"/>
        <v>1</v>
      </c>
      <c r="S14" s="101" t="b">
        <f t="shared" si="2"/>
        <v>1</v>
      </c>
      <c r="T14" s="167">
        <f t="shared" si="3"/>
        <v>2092.4199999999983</v>
      </c>
      <c r="U14" s="167">
        <f t="shared" si="4"/>
        <v>0</v>
      </c>
      <c r="V14" s="167">
        <f t="shared" si="5"/>
        <v>0</v>
      </c>
    </row>
    <row r="15" spans="1:22" s="90" customFormat="1" ht="20.100000000000001" customHeight="1">
      <c r="A15" s="347"/>
      <c r="B15" s="180" t="s">
        <v>145</v>
      </c>
      <c r="C15" s="238" t="s">
        <v>343</v>
      </c>
      <c r="D15" s="239" t="s">
        <v>153</v>
      </c>
      <c r="E15" s="240">
        <f>'Вед-я стр-ра'!H490</f>
        <v>1622.45</v>
      </c>
      <c r="F15" s="240">
        <f>'Вед-я стр-ра'!I490</f>
        <v>1591.06</v>
      </c>
      <c r="G15" s="240">
        <f>'Вед-я стр-ра'!J490</f>
        <v>1591.06</v>
      </c>
      <c r="H15" s="240">
        <v>1591.06</v>
      </c>
      <c r="I15" s="240">
        <v>1591.06</v>
      </c>
      <c r="J15" s="240">
        <v>1591.06</v>
      </c>
      <c r="K15" s="180" t="s">
        <v>145</v>
      </c>
      <c r="L15" s="238" t="s">
        <v>343</v>
      </c>
      <c r="M15" s="239" t="s">
        <v>153</v>
      </c>
      <c r="N15" s="240">
        <v>1591.06</v>
      </c>
      <c r="O15" s="240">
        <v>1591.06</v>
      </c>
      <c r="P15" s="240">
        <v>1591.06</v>
      </c>
      <c r="Q15" s="101" t="b">
        <f t="shared" si="0"/>
        <v>1</v>
      </c>
      <c r="R15" s="101" t="b">
        <f t="shared" si="1"/>
        <v>1</v>
      </c>
      <c r="S15" s="101" t="b">
        <f t="shared" si="2"/>
        <v>1</v>
      </c>
      <c r="T15" s="167">
        <f t="shared" si="3"/>
        <v>31.3900000000001</v>
      </c>
      <c r="U15" s="167">
        <f t="shared" si="4"/>
        <v>0</v>
      </c>
      <c r="V15" s="167">
        <f t="shared" si="5"/>
        <v>0</v>
      </c>
    </row>
    <row r="16" spans="1:22" s="90" customFormat="1" ht="20.100000000000001" customHeight="1">
      <c r="A16" s="347"/>
      <c r="B16" s="23" t="s">
        <v>147</v>
      </c>
      <c r="C16" s="37" t="s">
        <v>343</v>
      </c>
      <c r="D16" s="37" t="s">
        <v>154</v>
      </c>
      <c r="E16" s="183">
        <f>'Вед-я стр-ра'!H491</f>
        <v>108131.86</v>
      </c>
      <c r="F16" s="183">
        <f>'Вед-я стр-ра'!I491</f>
        <v>106070.83</v>
      </c>
      <c r="G16" s="183">
        <f>'Вед-я стр-ра'!J491</f>
        <v>106070.83</v>
      </c>
      <c r="H16" s="183">
        <v>106070.83</v>
      </c>
      <c r="I16" s="183">
        <v>106070.83</v>
      </c>
      <c r="J16" s="183">
        <v>106070.83</v>
      </c>
      <c r="K16" s="23" t="s">
        <v>147</v>
      </c>
      <c r="L16" s="37" t="s">
        <v>343</v>
      </c>
      <c r="M16" s="37" t="s">
        <v>154</v>
      </c>
      <c r="N16" s="183">
        <v>106070.83</v>
      </c>
      <c r="O16" s="183">
        <v>106070.83</v>
      </c>
      <c r="P16" s="183">
        <v>106070.83</v>
      </c>
      <c r="Q16" s="101" t="b">
        <f t="shared" si="0"/>
        <v>1</v>
      </c>
      <c r="R16" s="101" t="b">
        <f t="shared" si="1"/>
        <v>1</v>
      </c>
      <c r="S16" s="101" t="b">
        <f t="shared" si="2"/>
        <v>1</v>
      </c>
      <c r="T16" s="167">
        <f t="shared" si="3"/>
        <v>2061.0299999999988</v>
      </c>
      <c r="U16" s="167">
        <f t="shared" si="4"/>
        <v>0</v>
      </c>
      <c r="V16" s="167">
        <f t="shared" si="5"/>
        <v>0</v>
      </c>
    </row>
    <row r="17" spans="1:22" s="90" customFormat="1" ht="20.100000000000001" customHeight="1">
      <c r="A17" s="347" t="s">
        <v>799</v>
      </c>
      <c r="B17" s="23" t="s">
        <v>840</v>
      </c>
      <c r="C17" s="238" t="s">
        <v>320</v>
      </c>
      <c r="D17" s="239" t="s">
        <v>90</v>
      </c>
      <c r="E17" s="240">
        <f>SUM(E18:E22)</f>
        <v>1171591.81</v>
      </c>
      <c r="F17" s="240">
        <f>SUM(F18:F22)</f>
        <v>1171591.81</v>
      </c>
      <c r="G17" s="240">
        <f>SUM(G18:G22)</f>
        <v>1171591.81</v>
      </c>
      <c r="H17" s="240">
        <v>1171591.81</v>
      </c>
      <c r="I17" s="240">
        <v>1171591.81</v>
      </c>
      <c r="J17" s="240">
        <v>1171591.81</v>
      </c>
      <c r="K17" s="23" t="s">
        <v>840</v>
      </c>
      <c r="L17" s="238" t="s">
        <v>320</v>
      </c>
      <c r="M17" s="239" t="s">
        <v>90</v>
      </c>
      <c r="N17" s="240">
        <v>1171591.81</v>
      </c>
      <c r="O17" s="240">
        <v>1171591.81</v>
      </c>
      <c r="P17" s="240">
        <v>1171591.81</v>
      </c>
      <c r="Q17" s="101" t="b">
        <f t="shared" si="0"/>
        <v>1</v>
      </c>
      <c r="R17" s="101" t="b">
        <f t="shared" si="1"/>
        <v>1</v>
      </c>
      <c r="S17" s="101" t="b">
        <f t="shared" si="2"/>
        <v>1</v>
      </c>
      <c r="T17" s="167">
        <f t="shared" si="3"/>
        <v>0</v>
      </c>
      <c r="U17" s="167">
        <f t="shared" si="4"/>
        <v>0</v>
      </c>
      <c r="V17" s="167">
        <f t="shared" si="5"/>
        <v>0</v>
      </c>
    </row>
    <row r="18" spans="1:22" s="90" customFormat="1" ht="20.100000000000001" customHeight="1">
      <c r="A18" s="347"/>
      <c r="B18" s="23" t="s">
        <v>147</v>
      </c>
      <c r="C18" s="37" t="s">
        <v>320</v>
      </c>
      <c r="D18" s="37" t="s">
        <v>154</v>
      </c>
      <c r="E18" s="183">
        <f>'Вед-я стр-ра'!H329</f>
        <v>540</v>
      </c>
      <c r="F18" s="183">
        <f>'Вед-я стр-ра'!I329</f>
        <v>540</v>
      </c>
      <c r="G18" s="183">
        <f>'Вед-я стр-ра'!J329</f>
        <v>540</v>
      </c>
      <c r="H18" s="183">
        <v>540</v>
      </c>
      <c r="I18" s="183">
        <v>540</v>
      </c>
      <c r="J18" s="183">
        <v>540</v>
      </c>
      <c r="K18" s="23" t="s">
        <v>147</v>
      </c>
      <c r="L18" s="37" t="s">
        <v>320</v>
      </c>
      <c r="M18" s="37" t="s">
        <v>154</v>
      </c>
      <c r="N18" s="183">
        <v>540</v>
      </c>
      <c r="O18" s="183">
        <v>540</v>
      </c>
      <c r="P18" s="183">
        <v>540</v>
      </c>
      <c r="Q18" s="101" t="b">
        <f t="shared" si="0"/>
        <v>1</v>
      </c>
      <c r="R18" s="101" t="b">
        <f t="shared" si="1"/>
        <v>1</v>
      </c>
      <c r="S18" s="101" t="b">
        <f t="shared" si="2"/>
        <v>1</v>
      </c>
      <c r="T18" s="167">
        <f t="shared" si="3"/>
        <v>0</v>
      </c>
      <c r="U18" s="167">
        <f t="shared" si="4"/>
        <v>0</v>
      </c>
      <c r="V18" s="167">
        <f t="shared" si="5"/>
        <v>0</v>
      </c>
    </row>
    <row r="19" spans="1:22" s="90" customFormat="1" ht="20.100000000000001" customHeight="1">
      <c r="A19" s="347"/>
      <c r="B19" s="180" t="s">
        <v>132</v>
      </c>
      <c r="C19" s="238" t="s">
        <v>320</v>
      </c>
      <c r="D19" s="239" t="s">
        <v>171</v>
      </c>
      <c r="E19" s="240">
        <f>'Вед-я стр-ра'!H330</f>
        <v>1122433.25</v>
      </c>
      <c r="F19" s="240">
        <f>'Вед-я стр-ра'!I330</f>
        <v>1122433.25</v>
      </c>
      <c r="G19" s="240">
        <f>'Вед-я стр-ра'!J330</f>
        <v>1122433.25</v>
      </c>
      <c r="H19" s="240">
        <v>1122433.25</v>
      </c>
      <c r="I19" s="240">
        <v>1122433.25</v>
      </c>
      <c r="J19" s="240">
        <v>1122433.25</v>
      </c>
      <c r="K19" s="180" t="s">
        <v>132</v>
      </c>
      <c r="L19" s="238" t="s">
        <v>320</v>
      </c>
      <c r="M19" s="239" t="s">
        <v>171</v>
      </c>
      <c r="N19" s="240">
        <v>1122433.25</v>
      </c>
      <c r="O19" s="240">
        <v>1122433.25</v>
      </c>
      <c r="P19" s="240">
        <v>1122433.25</v>
      </c>
      <c r="Q19" s="101" t="b">
        <f t="shared" si="0"/>
        <v>1</v>
      </c>
      <c r="R19" s="101" t="b">
        <f t="shared" si="1"/>
        <v>1</v>
      </c>
      <c r="S19" s="101" t="b">
        <f t="shared" si="2"/>
        <v>1</v>
      </c>
      <c r="T19" s="167">
        <f t="shared" si="3"/>
        <v>0</v>
      </c>
      <c r="U19" s="167">
        <f t="shared" si="4"/>
        <v>0</v>
      </c>
      <c r="V19" s="167">
        <f t="shared" si="5"/>
        <v>0</v>
      </c>
    </row>
    <row r="20" spans="1:22" s="90" customFormat="1" ht="20.100000000000001" customHeight="1">
      <c r="A20" s="347"/>
      <c r="B20" s="180" t="s">
        <v>133</v>
      </c>
      <c r="C20" s="238" t="s">
        <v>320</v>
      </c>
      <c r="D20" s="239" t="s">
        <v>19</v>
      </c>
      <c r="E20" s="240">
        <f>'Вед-я стр-ра'!H331</f>
        <v>40666.58</v>
      </c>
      <c r="F20" s="240">
        <f>'Вед-я стр-ра'!I331</f>
        <v>40666.58</v>
      </c>
      <c r="G20" s="240">
        <f>'Вед-я стр-ра'!J331</f>
        <v>40666.58</v>
      </c>
      <c r="H20" s="240">
        <v>40666.58</v>
      </c>
      <c r="I20" s="240">
        <v>40666.58</v>
      </c>
      <c r="J20" s="240">
        <v>40666.58</v>
      </c>
      <c r="K20" s="180" t="s">
        <v>133</v>
      </c>
      <c r="L20" s="238" t="s">
        <v>320</v>
      </c>
      <c r="M20" s="239" t="s">
        <v>19</v>
      </c>
      <c r="N20" s="240">
        <v>40666.58</v>
      </c>
      <c r="O20" s="240">
        <v>40666.58</v>
      </c>
      <c r="P20" s="240">
        <v>40666.58</v>
      </c>
      <c r="Q20" s="101" t="b">
        <f t="shared" si="0"/>
        <v>1</v>
      </c>
      <c r="R20" s="101" t="b">
        <f t="shared" si="1"/>
        <v>1</v>
      </c>
      <c r="S20" s="101" t="b">
        <f t="shared" si="2"/>
        <v>1</v>
      </c>
      <c r="T20" s="167">
        <f t="shared" si="3"/>
        <v>0</v>
      </c>
      <c r="U20" s="167">
        <f t="shared" si="4"/>
        <v>0</v>
      </c>
      <c r="V20" s="167">
        <f t="shared" si="5"/>
        <v>0</v>
      </c>
    </row>
    <row r="21" spans="1:22" s="90" customFormat="1" ht="20.100000000000001" customHeight="1">
      <c r="A21" s="347"/>
      <c r="B21" s="180" t="s">
        <v>148</v>
      </c>
      <c r="C21" s="238" t="s">
        <v>320</v>
      </c>
      <c r="D21" s="239" t="s">
        <v>142</v>
      </c>
      <c r="E21" s="240">
        <f>'Вед-я стр-ра'!H332</f>
        <v>1688.43</v>
      </c>
      <c r="F21" s="240">
        <f>'Вед-я стр-ра'!I332</f>
        <v>1688.43</v>
      </c>
      <c r="G21" s="240">
        <f>'Вед-я стр-ра'!J332</f>
        <v>1688.43</v>
      </c>
      <c r="H21" s="240">
        <v>1688.43</v>
      </c>
      <c r="I21" s="240">
        <v>1688.43</v>
      </c>
      <c r="J21" s="240">
        <v>1688.43</v>
      </c>
      <c r="K21" s="180" t="s">
        <v>148</v>
      </c>
      <c r="L21" s="238" t="s">
        <v>320</v>
      </c>
      <c r="M21" s="239" t="s">
        <v>142</v>
      </c>
      <c r="N21" s="240">
        <v>1688.43</v>
      </c>
      <c r="O21" s="240">
        <v>1688.43</v>
      </c>
      <c r="P21" s="240">
        <v>1688.43</v>
      </c>
      <c r="Q21" s="101" t="b">
        <f t="shared" si="0"/>
        <v>1</v>
      </c>
      <c r="R21" s="101" t="b">
        <f t="shared" si="1"/>
        <v>1</v>
      </c>
      <c r="S21" s="101" t="b">
        <f t="shared" si="2"/>
        <v>1</v>
      </c>
      <c r="T21" s="167">
        <f t="shared" si="3"/>
        <v>0</v>
      </c>
      <c r="U21" s="167">
        <f t="shared" si="4"/>
        <v>0</v>
      </c>
      <c r="V21" s="167">
        <f t="shared" si="5"/>
        <v>0</v>
      </c>
    </row>
    <row r="22" spans="1:22" s="90" customFormat="1" ht="20.100000000000001" customHeight="1">
      <c r="A22" s="347"/>
      <c r="B22" s="68" t="s">
        <v>492</v>
      </c>
      <c r="C22" s="37" t="s">
        <v>320</v>
      </c>
      <c r="D22" s="37" t="s">
        <v>139</v>
      </c>
      <c r="E22" s="183">
        <f>'Вед-я стр-ра'!H333</f>
        <v>6263.55</v>
      </c>
      <c r="F22" s="183">
        <f>'Вед-я стр-ра'!I333</f>
        <v>6263.55</v>
      </c>
      <c r="G22" s="183">
        <f>'Вед-я стр-ра'!J333</f>
        <v>6263.55</v>
      </c>
      <c r="H22" s="530">
        <v>6263.55</v>
      </c>
      <c r="I22" s="530">
        <v>6263.55</v>
      </c>
      <c r="J22" s="530">
        <v>6263.55</v>
      </c>
      <c r="K22" s="68" t="s">
        <v>492</v>
      </c>
      <c r="L22" s="37" t="s">
        <v>320</v>
      </c>
      <c r="M22" s="37" t="s">
        <v>139</v>
      </c>
      <c r="N22" s="183">
        <v>6263.55</v>
      </c>
      <c r="O22" s="183">
        <v>6263.55</v>
      </c>
      <c r="P22" s="183">
        <v>6263.55</v>
      </c>
      <c r="Q22" s="101" t="b">
        <f t="shared" si="0"/>
        <v>1</v>
      </c>
      <c r="R22" s="101" t="b">
        <f t="shared" si="1"/>
        <v>1</v>
      </c>
      <c r="S22" s="101" t="b">
        <f t="shared" si="2"/>
        <v>1</v>
      </c>
      <c r="T22" s="167">
        <f t="shared" si="3"/>
        <v>0</v>
      </c>
      <c r="U22" s="167">
        <f t="shared" si="4"/>
        <v>0</v>
      </c>
      <c r="V22" s="167">
        <f t="shared" si="5"/>
        <v>0</v>
      </c>
    </row>
    <row r="23" spans="1:22" s="97" customFormat="1" ht="20.100000000000001" customHeight="1">
      <c r="A23" s="222"/>
      <c r="B23" s="180" t="s">
        <v>568</v>
      </c>
      <c r="C23" s="238" t="s">
        <v>331</v>
      </c>
      <c r="D23" s="239" t="s">
        <v>90</v>
      </c>
      <c r="E23" s="240">
        <f>E24+E28+E32+E36+E34+E39</f>
        <v>2906507.5199999996</v>
      </c>
      <c r="F23" s="240">
        <f>F24+F28+F32+F36+F34+F39</f>
        <v>2922429.6999999997</v>
      </c>
      <c r="G23" s="240">
        <f>G24+G28+G32+G36+G34+G39</f>
        <v>2928105.06</v>
      </c>
      <c r="H23" s="240">
        <v>2878220.1999999997</v>
      </c>
      <c r="I23" s="240">
        <v>2894142.38</v>
      </c>
      <c r="J23" s="240">
        <v>2905738.0900000003</v>
      </c>
      <c r="K23" s="180" t="s">
        <v>568</v>
      </c>
      <c r="L23" s="238" t="s">
        <v>331</v>
      </c>
      <c r="M23" s="239" t="s">
        <v>90</v>
      </c>
      <c r="N23" s="240">
        <v>2866983.08</v>
      </c>
      <c r="O23" s="240">
        <v>2882905.26</v>
      </c>
      <c r="P23" s="240">
        <v>2894500.97</v>
      </c>
      <c r="Q23" s="101" t="b">
        <f t="shared" si="0"/>
        <v>1</v>
      </c>
      <c r="R23" s="101" t="b">
        <f t="shared" si="1"/>
        <v>1</v>
      </c>
      <c r="S23" s="101" t="b">
        <f t="shared" si="2"/>
        <v>1</v>
      </c>
      <c r="T23" s="167">
        <f t="shared" si="3"/>
        <v>39524.439999999478</v>
      </c>
      <c r="U23" s="167">
        <f t="shared" si="4"/>
        <v>39524.439999999944</v>
      </c>
      <c r="V23" s="167">
        <f t="shared" si="5"/>
        <v>33604.089999999851</v>
      </c>
    </row>
    <row r="24" spans="1:22" s="97" customFormat="1" ht="20.100000000000001" customHeight="1">
      <c r="A24" s="222"/>
      <c r="B24" s="180" t="s">
        <v>254</v>
      </c>
      <c r="C24" s="238" t="s">
        <v>332</v>
      </c>
      <c r="D24" s="239" t="s">
        <v>90</v>
      </c>
      <c r="E24" s="240">
        <f>E25+E26+E27</f>
        <v>824040.4</v>
      </c>
      <c r="F24" s="240">
        <f>F25+F26+F27</f>
        <v>867928.62</v>
      </c>
      <c r="G24" s="240">
        <f>G25+G26+G27</f>
        <v>873603.98</v>
      </c>
      <c r="H24" s="240">
        <v>824040.4</v>
      </c>
      <c r="I24" s="240">
        <v>867928.62</v>
      </c>
      <c r="J24" s="240">
        <v>873603.98</v>
      </c>
      <c r="K24" s="180" t="s">
        <v>254</v>
      </c>
      <c r="L24" s="238" t="s">
        <v>332</v>
      </c>
      <c r="M24" s="239" t="s">
        <v>90</v>
      </c>
      <c r="N24" s="240">
        <v>812803.28</v>
      </c>
      <c r="O24" s="240">
        <v>856691.5</v>
      </c>
      <c r="P24" s="240">
        <v>862366.86</v>
      </c>
      <c r="Q24" s="101" t="b">
        <f t="shared" si="0"/>
        <v>1</v>
      </c>
      <c r="R24" s="101" t="b">
        <f t="shared" si="1"/>
        <v>1</v>
      </c>
      <c r="S24" s="101" t="b">
        <f t="shared" si="2"/>
        <v>1</v>
      </c>
      <c r="T24" s="167">
        <f t="shared" si="3"/>
        <v>11237.119999999995</v>
      </c>
      <c r="U24" s="167">
        <f t="shared" si="4"/>
        <v>11237.119999999995</v>
      </c>
      <c r="V24" s="167">
        <f t="shared" si="5"/>
        <v>11237.119999999995</v>
      </c>
    </row>
    <row r="25" spans="1:22" s="97" customFormat="1" ht="20.100000000000001" customHeight="1">
      <c r="A25" s="222"/>
      <c r="B25" s="180" t="s">
        <v>132</v>
      </c>
      <c r="C25" s="238" t="s">
        <v>332</v>
      </c>
      <c r="D25" s="239" t="s">
        <v>171</v>
      </c>
      <c r="E25" s="240">
        <f>'Вед-я стр-ра'!H359</f>
        <v>757404.48</v>
      </c>
      <c r="F25" s="240">
        <f>'Вед-я стр-ра'!I359</f>
        <v>801336.50999999989</v>
      </c>
      <c r="G25" s="240">
        <f>'Вед-я стр-ра'!J359</f>
        <v>806559.39999999991</v>
      </c>
      <c r="H25" s="240">
        <v>757404.48</v>
      </c>
      <c r="I25" s="240">
        <v>801336.50999999989</v>
      </c>
      <c r="J25" s="240">
        <v>806559.39999999991</v>
      </c>
      <c r="K25" s="180" t="s">
        <v>132</v>
      </c>
      <c r="L25" s="238" t="s">
        <v>332</v>
      </c>
      <c r="M25" s="239" t="s">
        <v>171</v>
      </c>
      <c r="N25" s="240">
        <v>746964.79</v>
      </c>
      <c r="O25" s="240">
        <v>790896.82</v>
      </c>
      <c r="P25" s="240">
        <v>796119.71</v>
      </c>
      <c r="Q25" s="101" t="b">
        <f t="shared" si="0"/>
        <v>1</v>
      </c>
      <c r="R25" s="101" t="b">
        <f t="shared" si="1"/>
        <v>1</v>
      </c>
      <c r="S25" s="101" t="b">
        <f t="shared" si="2"/>
        <v>1</v>
      </c>
      <c r="T25" s="167">
        <f t="shared" si="3"/>
        <v>10439.689999999944</v>
      </c>
      <c r="U25" s="167">
        <f t="shared" si="4"/>
        <v>10439.689999999944</v>
      </c>
      <c r="V25" s="167">
        <f t="shared" si="5"/>
        <v>10439.689999999944</v>
      </c>
    </row>
    <row r="26" spans="1:22" s="97" customFormat="1" ht="20.100000000000001" customHeight="1">
      <c r="A26" s="222"/>
      <c r="B26" s="180" t="s">
        <v>133</v>
      </c>
      <c r="C26" s="238" t="s">
        <v>332</v>
      </c>
      <c r="D26" s="239" t="s">
        <v>19</v>
      </c>
      <c r="E26" s="240">
        <f>'Вед-я стр-ра'!H360</f>
        <v>56611.75</v>
      </c>
      <c r="F26" s="240">
        <f>'Вед-я стр-ра'!I360</f>
        <v>56567.94</v>
      </c>
      <c r="G26" s="240">
        <f>'Вед-я стр-ра'!J360</f>
        <v>57020.41</v>
      </c>
      <c r="H26" s="240">
        <v>56611.75</v>
      </c>
      <c r="I26" s="240">
        <v>56567.94</v>
      </c>
      <c r="J26" s="240">
        <v>57020.41</v>
      </c>
      <c r="K26" s="180" t="s">
        <v>133</v>
      </c>
      <c r="L26" s="238" t="s">
        <v>332</v>
      </c>
      <c r="M26" s="239" t="s">
        <v>19</v>
      </c>
      <c r="N26" s="240">
        <v>55814.32</v>
      </c>
      <c r="O26" s="240">
        <v>55770.51</v>
      </c>
      <c r="P26" s="240">
        <v>56222.98</v>
      </c>
      <c r="Q26" s="101" t="b">
        <f t="shared" si="0"/>
        <v>1</v>
      </c>
      <c r="R26" s="101" t="b">
        <f t="shared" si="1"/>
        <v>1</v>
      </c>
      <c r="S26" s="101" t="b">
        <f t="shared" si="2"/>
        <v>1</v>
      </c>
      <c r="T26" s="167">
        <f t="shared" si="3"/>
        <v>797.43000000000029</v>
      </c>
      <c r="U26" s="167">
        <f t="shared" si="4"/>
        <v>797.43000000000029</v>
      </c>
      <c r="V26" s="167">
        <f t="shared" si="5"/>
        <v>797.43000000000029</v>
      </c>
    </row>
    <row r="27" spans="1:22" s="97" customFormat="1" ht="20.100000000000001" customHeight="1">
      <c r="A27" s="222"/>
      <c r="B27" s="180" t="s">
        <v>148</v>
      </c>
      <c r="C27" s="238" t="s">
        <v>332</v>
      </c>
      <c r="D27" s="239" t="s">
        <v>142</v>
      </c>
      <c r="E27" s="240">
        <f>'Вед-я стр-ра'!H361</f>
        <v>10024.17</v>
      </c>
      <c r="F27" s="240">
        <f>'Вед-я стр-ра'!I361</f>
        <v>10024.17</v>
      </c>
      <c r="G27" s="240">
        <f>'Вед-я стр-ра'!J361</f>
        <v>10024.17</v>
      </c>
      <c r="H27" s="240">
        <v>10024.17</v>
      </c>
      <c r="I27" s="240">
        <v>10024.17</v>
      </c>
      <c r="J27" s="240">
        <v>10024.17</v>
      </c>
      <c r="K27" s="180" t="s">
        <v>148</v>
      </c>
      <c r="L27" s="238" t="s">
        <v>332</v>
      </c>
      <c r="M27" s="239" t="s">
        <v>142</v>
      </c>
      <c r="N27" s="240">
        <v>10024.17</v>
      </c>
      <c r="O27" s="240">
        <v>10024.17</v>
      </c>
      <c r="P27" s="240">
        <v>10024.17</v>
      </c>
      <c r="Q27" s="101" t="b">
        <f t="shared" si="0"/>
        <v>1</v>
      </c>
      <c r="R27" s="101" t="b">
        <f t="shared" si="1"/>
        <v>1</v>
      </c>
      <c r="S27" s="101" t="b">
        <f t="shared" si="2"/>
        <v>1</v>
      </c>
      <c r="T27" s="167">
        <f t="shared" si="3"/>
        <v>0</v>
      </c>
      <c r="U27" s="167">
        <f t="shared" si="4"/>
        <v>0</v>
      </c>
      <c r="V27" s="167">
        <f t="shared" si="5"/>
        <v>0</v>
      </c>
    </row>
    <row r="28" spans="1:22" s="90" customFormat="1" ht="20.100000000000001" customHeight="1">
      <c r="A28" s="347" t="s">
        <v>799</v>
      </c>
      <c r="B28" s="182" t="s">
        <v>841</v>
      </c>
      <c r="C28" s="238" t="s">
        <v>333</v>
      </c>
      <c r="D28" s="239" t="s">
        <v>90</v>
      </c>
      <c r="E28" s="240">
        <f>SUM(E29:E31)</f>
        <v>1631786.92</v>
      </c>
      <c r="F28" s="240">
        <f>SUM(F29:F31)</f>
        <v>1603820.8800000001</v>
      </c>
      <c r="G28" s="240">
        <f>SUM(G29:G31)</f>
        <v>1603820.8800000001</v>
      </c>
      <c r="H28" s="240">
        <v>1631786.92</v>
      </c>
      <c r="I28" s="240">
        <v>1603820.8800000001</v>
      </c>
      <c r="J28" s="240">
        <v>1603820.8800000001</v>
      </c>
      <c r="K28" s="182" t="s">
        <v>841</v>
      </c>
      <c r="L28" s="238" t="s">
        <v>333</v>
      </c>
      <c r="M28" s="239" t="s">
        <v>90</v>
      </c>
      <c r="N28" s="240">
        <v>1631786.92</v>
      </c>
      <c r="O28" s="240">
        <v>1603820.8800000001</v>
      </c>
      <c r="P28" s="240">
        <v>1603820.8800000001</v>
      </c>
      <c r="Q28" s="101" t="b">
        <f t="shared" si="0"/>
        <v>1</v>
      </c>
      <c r="R28" s="101" t="b">
        <f t="shared" si="1"/>
        <v>1</v>
      </c>
      <c r="S28" s="101" t="b">
        <f t="shared" si="2"/>
        <v>1</v>
      </c>
      <c r="T28" s="167">
        <f t="shared" si="3"/>
        <v>0</v>
      </c>
      <c r="U28" s="167">
        <f t="shared" si="4"/>
        <v>0</v>
      </c>
      <c r="V28" s="167">
        <f t="shared" si="5"/>
        <v>0</v>
      </c>
    </row>
    <row r="29" spans="1:22" s="90" customFormat="1" ht="20.100000000000001" customHeight="1">
      <c r="A29" s="347"/>
      <c r="B29" s="180" t="s">
        <v>132</v>
      </c>
      <c r="C29" s="238" t="s">
        <v>333</v>
      </c>
      <c r="D29" s="239" t="s">
        <v>171</v>
      </c>
      <c r="E29" s="240">
        <f>'Вед-я стр-ра'!H363</f>
        <v>1486093.66</v>
      </c>
      <c r="F29" s="240">
        <f>'Вед-я стр-ра'!I363</f>
        <v>1458127.62</v>
      </c>
      <c r="G29" s="240">
        <f>'Вед-я стр-ра'!J363</f>
        <v>1458127.62</v>
      </c>
      <c r="H29" s="240">
        <v>1486093.66</v>
      </c>
      <c r="I29" s="240">
        <v>1458127.62</v>
      </c>
      <c r="J29" s="240">
        <v>1458127.62</v>
      </c>
      <c r="K29" s="180" t="s">
        <v>132</v>
      </c>
      <c r="L29" s="238" t="s">
        <v>333</v>
      </c>
      <c r="M29" s="239" t="s">
        <v>171</v>
      </c>
      <c r="N29" s="240">
        <v>1486093.66</v>
      </c>
      <c r="O29" s="240">
        <v>1458127.62</v>
      </c>
      <c r="P29" s="240">
        <v>1458127.62</v>
      </c>
      <c r="Q29" s="101" t="b">
        <f t="shared" si="0"/>
        <v>1</v>
      </c>
      <c r="R29" s="101" t="b">
        <f t="shared" si="1"/>
        <v>1</v>
      </c>
      <c r="S29" s="101" t="b">
        <f t="shared" si="2"/>
        <v>1</v>
      </c>
      <c r="T29" s="167">
        <f t="shared" si="3"/>
        <v>0</v>
      </c>
      <c r="U29" s="167">
        <f t="shared" si="4"/>
        <v>0</v>
      </c>
      <c r="V29" s="167">
        <f t="shared" si="5"/>
        <v>0</v>
      </c>
    </row>
    <row r="30" spans="1:22" s="90" customFormat="1" ht="20.100000000000001" customHeight="1">
      <c r="A30" s="347"/>
      <c r="B30" s="180" t="s">
        <v>133</v>
      </c>
      <c r="C30" s="238" t="s">
        <v>333</v>
      </c>
      <c r="D30" s="239" t="s">
        <v>19</v>
      </c>
      <c r="E30" s="240">
        <f>'Вед-я стр-ра'!H364</f>
        <v>137038.20000000001</v>
      </c>
      <c r="F30" s="240">
        <f>'Вед-я стр-ра'!I364</f>
        <v>137038.20000000001</v>
      </c>
      <c r="G30" s="240">
        <f>'Вед-я стр-ра'!J364</f>
        <v>137038.20000000001</v>
      </c>
      <c r="H30" s="240">
        <v>137038.20000000001</v>
      </c>
      <c r="I30" s="240">
        <v>137038.20000000001</v>
      </c>
      <c r="J30" s="240">
        <v>137038.20000000001</v>
      </c>
      <c r="K30" s="180" t="s">
        <v>133</v>
      </c>
      <c r="L30" s="238" t="s">
        <v>333</v>
      </c>
      <c r="M30" s="239" t="s">
        <v>19</v>
      </c>
      <c r="N30" s="240">
        <v>137038.20000000001</v>
      </c>
      <c r="O30" s="240">
        <v>137038.20000000001</v>
      </c>
      <c r="P30" s="240">
        <v>137038.20000000001</v>
      </c>
      <c r="Q30" s="101" t="b">
        <f t="shared" si="0"/>
        <v>1</v>
      </c>
      <c r="R30" s="101" t="b">
        <f t="shared" si="1"/>
        <v>1</v>
      </c>
      <c r="S30" s="101" t="b">
        <f t="shared" si="2"/>
        <v>1</v>
      </c>
      <c r="T30" s="167">
        <f t="shared" si="3"/>
        <v>0</v>
      </c>
      <c r="U30" s="167">
        <f t="shared" si="4"/>
        <v>0</v>
      </c>
      <c r="V30" s="167">
        <f t="shared" si="5"/>
        <v>0</v>
      </c>
    </row>
    <row r="31" spans="1:22" s="90" customFormat="1" ht="20.100000000000001" customHeight="1">
      <c r="A31" s="347"/>
      <c r="B31" s="180" t="s">
        <v>148</v>
      </c>
      <c r="C31" s="238" t="s">
        <v>333</v>
      </c>
      <c r="D31" s="239" t="s">
        <v>142</v>
      </c>
      <c r="E31" s="240">
        <f>'Вед-я стр-ра'!H365</f>
        <v>8655.06</v>
      </c>
      <c r="F31" s="240">
        <f>'Вед-я стр-ра'!I365</f>
        <v>8655.06</v>
      </c>
      <c r="G31" s="240">
        <f>'Вед-я стр-ра'!J365</f>
        <v>8655.06</v>
      </c>
      <c r="H31" s="240">
        <v>8655.06</v>
      </c>
      <c r="I31" s="240">
        <v>8655.06</v>
      </c>
      <c r="J31" s="240">
        <v>8655.06</v>
      </c>
      <c r="K31" s="180" t="s">
        <v>148</v>
      </c>
      <c r="L31" s="238" t="s">
        <v>333</v>
      </c>
      <c r="M31" s="239" t="s">
        <v>142</v>
      </c>
      <c r="N31" s="240">
        <v>8655.06</v>
      </c>
      <c r="O31" s="240">
        <v>8655.06</v>
      </c>
      <c r="P31" s="240">
        <v>8655.06</v>
      </c>
      <c r="Q31" s="101" t="b">
        <f t="shared" si="0"/>
        <v>1</v>
      </c>
      <c r="R31" s="101" t="b">
        <f t="shared" si="1"/>
        <v>1</v>
      </c>
      <c r="S31" s="101" t="b">
        <f t="shared" si="2"/>
        <v>1</v>
      </c>
      <c r="T31" s="167">
        <f t="shared" si="3"/>
        <v>0</v>
      </c>
      <c r="U31" s="167">
        <f t="shared" si="4"/>
        <v>0</v>
      </c>
      <c r="V31" s="167">
        <f t="shared" si="5"/>
        <v>0</v>
      </c>
    </row>
    <row r="32" spans="1:22" s="90" customFormat="1" ht="20.100000000000001" customHeight="1">
      <c r="A32" s="285"/>
      <c r="B32" s="180" t="s">
        <v>831</v>
      </c>
      <c r="C32" s="37" t="s">
        <v>820</v>
      </c>
      <c r="D32" s="37" t="s">
        <v>90</v>
      </c>
      <c r="E32" s="183">
        <f>E33</f>
        <v>1577.77</v>
      </c>
      <c r="F32" s="183">
        <f>F33</f>
        <v>1577.77</v>
      </c>
      <c r="G32" s="183">
        <f>G33</f>
        <v>1577.77</v>
      </c>
      <c r="H32" s="183">
        <v>1577.77</v>
      </c>
      <c r="I32" s="183">
        <v>1577.77</v>
      </c>
      <c r="J32" s="183">
        <v>1577.77</v>
      </c>
      <c r="K32" s="180" t="s">
        <v>831</v>
      </c>
      <c r="L32" s="37" t="s">
        <v>820</v>
      </c>
      <c r="M32" s="37" t="s">
        <v>90</v>
      </c>
      <c r="N32" s="183">
        <v>1577.77</v>
      </c>
      <c r="O32" s="183">
        <v>1577.77</v>
      </c>
      <c r="P32" s="183">
        <v>1577.77</v>
      </c>
      <c r="Q32" s="101" t="b">
        <f t="shared" si="0"/>
        <v>1</v>
      </c>
      <c r="R32" s="101" t="b">
        <f t="shared" si="1"/>
        <v>1</v>
      </c>
      <c r="S32" s="101" t="b">
        <f t="shared" si="2"/>
        <v>1</v>
      </c>
      <c r="T32" s="167">
        <f t="shared" si="3"/>
        <v>0</v>
      </c>
      <c r="U32" s="167">
        <f t="shared" si="4"/>
        <v>0</v>
      </c>
      <c r="V32" s="167">
        <f t="shared" si="5"/>
        <v>0</v>
      </c>
    </row>
    <row r="33" spans="1:22" s="90" customFormat="1" ht="20.100000000000001" customHeight="1">
      <c r="A33" s="285"/>
      <c r="B33" s="23" t="s">
        <v>147</v>
      </c>
      <c r="C33" s="37" t="s">
        <v>820</v>
      </c>
      <c r="D33" s="37" t="s">
        <v>154</v>
      </c>
      <c r="E33" s="183">
        <f>'Вед-я стр-ра'!H494</f>
        <v>1577.77</v>
      </c>
      <c r="F33" s="183">
        <f>'Вед-я стр-ра'!I494</f>
        <v>1577.77</v>
      </c>
      <c r="G33" s="183">
        <f>'Вед-я стр-ра'!J494</f>
        <v>1577.77</v>
      </c>
      <c r="H33" s="183">
        <v>1577.77</v>
      </c>
      <c r="I33" s="183">
        <v>1577.77</v>
      </c>
      <c r="J33" s="183">
        <v>1577.77</v>
      </c>
      <c r="K33" s="23" t="s">
        <v>147</v>
      </c>
      <c r="L33" s="37" t="s">
        <v>820</v>
      </c>
      <c r="M33" s="37" t="s">
        <v>154</v>
      </c>
      <c r="N33" s="183">
        <v>1577.77</v>
      </c>
      <c r="O33" s="183">
        <v>1577.77</v>
      </c>
      <c r="P33" s="183">
        <v>1577.77</v>
      </c>
      <c r="Q33" s="101" t="b">
        <f t="shared" si="0"/>
        <v>1</v>
      </c>
      <c r="R33" s="101" t="b">
        <f t="shared" si="1"/>
        <v>1</v>
      </c>
      <c r="S33" s="101" t="b">
        <f t="shared" si="2"/>
        <v>1</v>
      </c>
      <c r="T33" s="167">
        <f t="shared" si="3"/>
        <v>0</v>
      </c>
      <c r="U33" s="167">
        <f t="shared" si="4"/>
        <v>0</v>
      </c>
      <c r="V33" s="167">
        <f t="shared" si="5"/>
        <v>0</v>
      </c>
    </row>
    <row r="34" spans="1:22" s="90" customFormat="1" ht="20.100000000000001" customHeight="1">
      <c r="A34" s="285"/>
      <c r="B34" s="23" t="s">
        <v>1002</v>
      </c>
      <c r="C34" s="37" t="s">
        <v>976</v>
      </c>
      <c r="D34" s="37" t="s">
        <v>90</v>
      </c>
      <c r="E34" s="183">
        <f>E35</f>
        <v>1099.46</v>
      </c>
      <c r="F34" s="183">
        <f>F35</f>
        <v>1099.46</v>
      </c>
      <c r="G34" s="183">
        <f>G35</f>
        <v>1099.46</v>
      </c>
      <c r="H34" s="183">
        <v>1099.46</v>
      </c>
      <c r="I34" s="183">
        <v>1099.46</v>
      </c>
      <c r="J34" s="183">
        <v>1099.46</v>
      </c>
      <c r="K34" s="23" t="s">
        <v>1002</v>
      </c>
      <c r="L34" s="37" t="s">
        <v>976</v>
      </c>
      <c r="M34" s="37" t="s">
        <v>90</v>
      </c>
      <c r="N34" s="183">
        <v>1099.46</v>
      </c>
      <c r="O34" s="183">
        <v>1099.46</v>
      </c>
      <c r="P34" s="183">
        <v>1099.46</v>
      </c>
      <c r="Q34" s="101" t="b">
        <f t="shared" si="0"/>
        <v>1</v>
      </c>
      <c r="R34" s="101" t="b">
        <f t="shared" si="1"/>
        <v>1</v>
      </c>
      <c r="S34" s="101" t="b">
        <f t="shared" si="2"/>
        <v>1</v>
      </c>
      <c r="T34" s="167">
        <f t="shared" si="3"/>
        <v>0</v>
      </c>
      <c r="U34" s="167">
        <f t="shared" si="4"/>
        <v>0</v>
      </c>
      <c r="V34" s="167">
        <f t="shared" si="5"/>
        <v>0</v>
      </c>
    </row>
    <row r="35" spans="1:22" s="90" customFormat="1" ht="20.100000000000001" customHeight="1">
      <c r="A35" s="285"/>
      <c r="B35" s="23" t="s">
        <v>147</v>
      </c>
      <c r="C35" s="37" t="s">
        <v>976</v>
      </c>
      <c r="D35" s="37" t="s">
        <v>154</v>
      </c>
      <c r="E35" s="183">
        <f>'Вед-я стр-ра'!H496</f>
        <v>1099.46</v>
      </c>
      <c r="F35" s="183">
        <f>'Вед-я стр-ра'!I496</f>
        <v>1099.46</v>
      </c>
      <c r="G35" s="183">
        <f>'Вед-я стр-ра'!J496</f>
        <v>1099.46</v>
      </c>
      <c r="H35" s="183">
        <v>1099.46</v>
      </c>
      <c r="I35" s="183">
        <v>1099.46</v>
      </c>
      <c r="J35" s="183">
        <v>1099.46</v>
      </c>
      <c r="K35" s="23" t="s">
        <v>147</v>
      </c>
      <c r="L35" s="37" t="s">
        <v>976</v>
      </c>
      <c r="M35" s="37" t="s">
        <v>154</v>
      </c>
      <c r="N35" s="183">
        <v>1099.46</v>
      </c>
      <c r="O35" s="183">
        <v>1099.46</v>
      </c>
      <c r="P35" s="183">
        <v>1099.46</v>
      </c>
      <c r="Q35" s="101" t="b">
        <f t="shared" si="0"/>
        <v>1</v>
      </c>
      <c r="R35" s="101" t="b">
        <f t="shared" si="1"/>
        <v>1</v>
      </c>
      <c r="S35" s="101" t="b">
        <f t="shared" si="2"/>
        <v>1</v>
      </c>
      <c r="T35" s="167">
        <f t="shared" si="3"/>
        <v>0</v>
      </c>
      <c r="U35" s="167">
        <f t="shared" si="4"/>
        <v>0</v>
      </c>
      <c r="V35" s="167">
        <f t="shared" si="5"/>
        <v>0</v>
      </c>
    </row>
    <row r="36" spans="1:22" s="90" customFormat="1" ht="20.100000000000001" customHeight="1">
      <c r="A36" s="285"/>
      <c r="B36" s="182" t="s">
        <v>974</v>
      </c>
      <c r="C36" s="37" t="s">
        <v>975</v>
      </c>
      <c r="D36" s="37" t="s">
        <v>90</v>
      </c>
      <c r="E36" s="183">
        <f>E37+E38</f>
        <v>303582.52999999997</v>
      </c>
      <c r="F36" s="183">
        <f>F37+F38</f>
        <v>303582.52999999997</v>
      </c>
      <c r="G36" s="183">
        <f>G37+G38</f>
        <v>303582.52999999997</v>
      </c>
      <c r="H36" s="183">
        <v>275295.21000000002</v>
      </c>
      <c r="I36" s="183">
        <v>275295.21000000002</v>
      </c>
      <c r="J36" s="183">
        <v>281215.56</v>
      </c>
      <c r="K36" s="182" t="s">
        <v>974</v>
      </c>
      <c r="L36" s="37" t="s">
        <v>975</v>
      </c>
      <c r="M36" s="37" t="s">
        <v>90</v>
      </c>
      <c r="N36" s="183">
        <v>275295.21000000002</v>
      </c>
      <c r="O36" s="183">
        <v>275295.21000000002</v>
      </c>
      <c r="P36" s="183">
        <v>281215.56</v>
      </c>
      <c r="Q36" s="101" t="b">
        <f t="shared" si="0"/>
        <v>1</v>
      </c>
      <c r="R36" s="101" t="b">
        <f t="shared" si="1"/>
        <v>1</v>
      </c>
      <c r="S36" s="101" t="b">
        <f t="shared" si="2"/>
        <v>1</v>
      </c>
      <c r="T36" s="167">
        <f t="shared" si="3"/>
        <v>28287.319999999949</v>
      </c>
      <c r="U36" s="167">
        <f t="shared" si="4"/>
        <v>28287.319999999949</v>
      </c>
      <c r="V36" s="167">
        <f t="shared" si="5"/>
        <v>22366.969999999972</v>
      </c>
    </row>
    <row r="37" spans="1:22" s="90" customFormat="1" ht="20.100000000000001" customHeight="1">
      <c r="A37" s="285"/>
      <c r="B37" s="23" t="s">
        <v>132</v>
      </c>
      <c r="C37" s="37" t="s">
        <v>975</v>
      </c>
      <c r="D37" s="37" t="s">
        <v>171</v>
      </c>
      <c r="E37" s="183">
        <f>'Вед-я стр-ра'!H367</f>
        <v>284094.62</v>
      </c>
      <c r="F37" s="183">
        <f>'Вед-я стр-ра'!I367</f>
        <v>284094.62</v>
      </c>
      <c r="G37" s="183">
        <f>'Вед-я стр-ра'!J367</f>
        <v>284094.62</v>
      </c>
      <c r="H37" s="183">
        <v>255807.30000000002</v>
      </c>
      <c r="I37" s="183">
        <v>255807.30000000002</v>
      </c>
      <c r="J37" s="183">
        <v>261727.65</v>
      </c>
      <c r="K37" s="23" t="s">
        <v>132</v>
      </c>
      <c r="L37" s="37" t="s">
        <v>975</v>
      </c>
      <c r="M37" s="37" t="s">
        <v>171</v>
      </c>
      <c r="N37" s="183">
        <v>255807.30000000002</v>
      </c>
      <c r="O37" s="183">
        <v>255807.30000000002</v>
      </c>
      <c r="P37" s="183">
        <v>261727.65</v>
      </c>
      <c r="Q37" s="101" t="b">
        <f t="shared" si="0"/>
        <v>1</v>
      </c>
      <c r="R37" s="101" t="b">
        <f t="shared" si="1"/>
        <v>1</v>
      </c>
      <c r="S37" s="101" t="b">
        <f t="shared" si="2"/>
        <v>1</v>
      </c>
      <c r="T37" s="167">
        <f t="shared" si="3"/>
        <v>28287.319999999978</v>
      </c>
      <c r="U37" s="167">
        <f t="shared" si="4"/>
        <v>28287.319999999978</v>
      </c>
      <c r="V37" s="167">
        <f t="shared" si="5"/>
        <v>22366.97</v>
      </c>
    </row>
    <row r="38" spans="1:22" s="90" customFormat="1" ht="20.100000000000001" customHeight="1">
      <c r="A38" s="285"/>
      <c r="B38" s="23" t="s">
        <v>133</v>
      </c>
      <c r="C38" s="37" t="s">
        <v>975</v>
      </c>
      <c r="D38" s="37" t="s">
        <v>19</v>
      </c>
      <c r="E38" s="183">
        <f>'Вед-я стр-ра'!H368</f>
        <v>19487.91</v>
      </c>
      <c r="F38" s="183">
        <f>'Вед-я стр-ра'!I368</f>
        <v>19487.91</v>
      </c>
      <c r="G38" s="183">
        <f>'Вед-я стр-ра'!J368</f>
        <v>19487.91</v>
      </c>
      <c r="H38" s="183">
        <v>19487.91</v>
      </c>
      <c r="I38" s="183">
        <v>19487.91</v>
      </c>
      <c r="J38" s="183">
        <v>19487.91</v>
      </c>
      <c r="K38" s="23" t="s">
        <v>133</v>
      </c>
      <c r="L38" s="37" t="s">
        <v>975</v>
      </c>
      <c r="M38" s="37" t="s">
        <v>19</v>
      </c>
      <c r="N38" s="183">
        <v>19487.91</v>
      </c>
      <c r="O38" s="183">
        <v>19487.91</v>
      </c>
      <c r="P38" s="183">
        <v>19487.91</v>
      </c>
      <c r="Q38" s="101" t="b">
        <f t="shared" si="0"/>
        <v>1</v>
      </c>
      <c r="R38" s="101" t="b">
        <f t="shared" si="1"/>
        <v>1</v>
      </c>
      <c r="S38" s="101" t="b">
        <f t="shared" si="2"/>
        <v>1</v>
      </c>
      <c r="T38" s="167">
        <f t="shared" si="3"/>
        <v>0</v>
      </c>
      <c r="U38" s="167">
        <f t="shared" si="4"/>
        <v>0</v>
      </c>
      <c r="V38" s="167">
        <f t="shared" si="5"/>
        <v>0</v>
      </c>
    </row>
    <row r="39" spans="1:22" s="90" customFormat="1" ht="20.100000000000001" customHeight="1">
      <c r="A39" s="285"/>
      <c r="B39" s="182" t="s">
        <v>1151</v>
      </c>
      <c r="C39" s="37" t="s">
        <v>1150</v>
      </c>
      <c r="D39" s="37" t="s">
        <v>90</v>
      </c>
      <c r="E39" s="183">
        <f>E40+E41</f>
        <v>144420.44</v>
      </c>
      <c r="F39" s="183">
        <f t="shared" ref="F39:G39" si="7">F40+F41</f>
        <v>144420.44</v>
      </c>
      <c r="G39" s="183">
        <f t="shared" si="7"/>
        <v>144420.44</v>
      </c>
      <c r="H39" s="183">
        <v>144420.44</v>
      </c>
      <c r="I39" s="183">
        <v>144420.44</v>
      </c>
      <c r="J39" s="183">
        <v>144420.44</v>
      </c>
      <c r="K39" s="182" t="s">
        <v>1151</v>
      </c>
      <c r="L39" s="37" t="s">
        <v>1150</v>
      </c>
      <c r="M39" s="37" t="s">
        <v>90</v>
      </c>
      <c r="N39" s="183">
        <v>144420.44</v>
      </c>
      <c r="O39" s="183">
        <v>144420.44</v>
      </c>
      <c r="P39" s="183">
        <v>144420.44</v>
      </c>
      <c r="Q39" s="101" t="b">
        <f t="shared" si="0"/>
        <v>1</v>
      </c>
      <c r="R39" s="101" t="b">
        <f t="shared" si="1"/>
        <v>1</v>
      </c>
      <c r="S39" s="101" t="b">
        <f t="shared" si="2"/>
        <v>1</v>
      </c>
      <c r="T39" s="167">
        <f t="shared" si="3"/>
        <v>0</v>
      </c>
      <c r="U39" s="167">
        <f t="shared" si="4"/>
        <v>0</v>
      </c>
      <c r="V39" s="167">
        <f t="shared" si="5"/>
        <v>0</v>
      </c>
    </row>
    <row r="40" spans="1:22" s="90" customFormat="1" ht="20.100000000000001" customHeight="1">
      <c r="A40" s="285"/>
      <c r="B40" s="23" t="s">
        <v>132</v>
      </c>
      <c r="C40" s="37" t="s">
        <v>1150</v>
      </c>
      <c r="D40" s="37" t="s">
        <v>171</v>
      </c>
      <c r="E40" s="183">
        <f>'Вед-я стр-ра'!H370</f>
        <v>132077.48000000001</v>
      </c>
      <c r="F40" s="183">
        <f>'Вед-я стр-ра'!I370</f>
        <v>132077.48000000001</v>
      </c>
      <c r="G40" s="183">
        <f>'Вед-я стр-ра'!J370</f>
        <v>132077.48000000001</v>
      </c>
      <c r="H40" s="183">
        <v>132077.48000000001</v>
      </c>
      <c r="I40" s="183">
        <v>132077.48000000001</v>
      </c>
      <c r="J40" s="183">
        <v>132077.48000000001</v>
      </c>
      <c r="K40" s="23" t="s">
        <v>132</v>
      </c>
      <c r="L40" s="37" t="s">
        <v>1150</v>
      </c>
      <c r="M40" s="37" t="s">
        <v>171</v>
      </c>
      <c r="N40" s="183">
        <v>132077.48000000001</v>
      </c>
      <c r="O40" s="183">
        <v>132077.48000000001</v>
      </c>
      <c r="P40" s="183">
        <v>132077.48000000001</v>
      </c>
      <c r="Q40" s="101" t="b">
        <f t="shared" si="0"/>
        <v>1</v>
      </c>
      <c r="R40" s="101" t="b">
        <f t="shared" si="1"/>
        <v>1</v>
      </c>
      <c r="S40" s="101" t="b">
        <f t="shared" si="2"/>
        <v>1</v>
      </c>
      <c r="T40" s="167">
        <f t="shared" si="3"/>
        <v>0</v>
      </c>
      <c r="U40" s="167">
        <f t="shared" si="4"/>
        <v>0</v>
      </c>
      <c r="V40" s="167">
        <f t="shared" si="5"/>
        <v>0</v>
      </c>
    </row>
    <row r="41" spans="1:22" s="90" customFormat="1" ht="20.100000000000001" customHeight="1">
      <c r="A41" s="285"/>
      <c r="B41" s="23" t="s">
        <v>133</v>
      </c>
      <c r="C41" s="37" t="s">
        <v>1150</v>
      </c>
      <c r="D41" s="37" t="s">
        <v>19</v>
      </c>
      <c r="E41" s="183">
        <f>'Вед-я стр-ра'!H371</f>
        <v>12342.96</v>
      </c>
      <c r="F41" s="183">
        <f>'Вед-я стр-ра'!I371</f>
        <v>12342.96</v>
      </c>
      <c r="G41" s="183">
        <f>'Вед-я стр-ра'!J371</f>
        <v>12342.96</v>
      </c>
      <c r="H41" s="183">
        <v>12342.96</v>
      </c>
      <c r="I41" s="183">
        <v>12342.96</v>
      </c>
      <c r="J41" s="183">
        <v>12342.96</v>
      </c>
      <c r="K41" s="23" t="s">
        <v>133</v>
      </c>
      <c r="L41" s="37" t="s">
        <v>1150</v>
      </c>
      <c r="M41" s="37" t="s">
        <v>19</v>
      </c>
      <c r="N41" s="183">
        <v>12342.96</v>
      </c>
      <c r="O41" s="183">
        <v>12342.96</v>
      </c>
      <c r="P41" s="183">
        <v>12342.96</v>
      </c>
      <c r="Q41" s="101" t="b">
        <f t="shared" si="0"/>
        <v>1</v>
      </c>
      <c r="R41" s="101" t="b">
        <f t="shared" si="1"/>
        <v>1</v>
      </c>
      <c r="S41" s="101" t="b">
        <f t="shared" si="2"/>
        <v>1</v>
      </c>
      <c r="T41" s="167">
        <f t="shared" si="3"/>
        <v>0</v>
      </c>
      <c r="U41" s="167">
        <f t="shared" si="4"/>
        <v>0</v>
      </c>
      <c r="V41" s="167">
        <f t="shared" si="5"/>
        <v>0</v>
      </c>
    </row>
    <row r="42" spans="1:22" s="90" customFormat="1" ht="20.100000000000001" customHeight="1">
      <c r="A42" s="347"/>
      <c r="B42" s="178" t="s">
        <v>542</v>
      </c>
      <c r="C42" s="238" t="s">
        <v>334</v>
      </c>
      <c r="D42" s="239" t="s">
        <v>90</v>
      </c>
      <c r="E42" s="240">
        <f>E43</f>
        <v>261143.86000000004</v>
      </c>
      <c r="F42" s="240">
        <f t="shared" ref="F42:G42" si="8">F43</f>
        <v>261523.58000000002</v>
      </c>
      <c r="G42" s="240">
        <f t="shared" si="8"/>
        <v>261946.22000000003</v>
      </c>
      <c r="H42" s="240">
        <v>261143.86000000004</v>
      </c>
      <c r="I42" s="240">
        <v>261523.58000000002</v>
      </c>
      <c r="J42" s="240">
        <v>261946.22000000003</v>
      </c>
      <c r="K42" s="178" t="s">
        <v>542</v>
      </c>
      <c r="L42" s="238" t="s">
        <v>334</v>
      </c>
      <c r="M42" s="239" t="s">
        <v>90</v>
      </c>
      <c r="N42" s="240">
        <v>259462.48</v>
      </c>
      <c r="O42" s="240">
        <v>259842.2</v>
      </c>
      <c r="P42" s="240">
        <v>260264.84</v>
      </c>
      <c r="Q42" s="101" t="b">
        <f t="shared" si="0"/>
        <v>1</v>
      </c>
      <c r="R42" s="101" t="b">
        <f t="shared" si="1"/>
        <v>1</v>
      </c>
      <c r="S42" s="101" t="b">
        <f t="shared" si="2"/>
        <v>1</v>
      </c>
      <c r="T42" s="167">
        <f t="shared" si="3"/>
        <v>1681.3800000000338</v>
      </c>
      <c r="U42" s="167">
        <f t="shared" si="4"/>
        <v>1681.3800000000047</v>
      </c>
      <c r="V42" s="167">
        <f t="shared" si="5"/>
        <v>1681.3800000000338</v>
      </c>
    </row>
    <row r="43" spans="1:22" s="90" customFormat="1" ht="20.100000000000001" customHeight="1">
      <c r="A43" s="347"/>
      <c r="B43" s="178" t="s">
        <v>254</v>
      </c>
      <c r="C43" s="238" t="s">
        <v>335</v>
      </c>
      <c r="D43" s="239" t="s">
        <v>90</v>
      </c>
      <c r="E43" s="240">
        <f>E44+E45</f>
        <v>261143.86000000004</v>
      </c>
      <c r="F43" s="240">
        <f>F44+F45</f>
        <v>261523.58000000002</v>
      </c>
      <c r="G43" s="240">
        <f>G44+G45</f>
        <v>261946.22000000003</v>
      </c>
      <c r="H43" s="240">
        <v>261143.86000000004</v>
      </c>
      <c r="I43" s="240">
        <v>261523.58000000002</v>
      </c>
      <c r="J43" s="240">
        <v>261946.22000000003</v>
      </c>
      <c r="K43" s="178" t="s">
        <v>254</v>
      </c>
      <c r="L43" s="238" t="s">
        <v>335</v>
      </c>
      <c r="M43" s="239" t="s">
        <v>90</v>
      </c>
      <c r="N43" s="240">
        <v>259462.48</v>
      </c>
      <c r="O43" s="240">
        <v>259842.2</v>
      </c>
      <c r="P43" s="240">
        <v>260264.84</v>
      </c>
      <c r="Q43" s="101" t="b">
        <f t="shared" si="0"/>
        <v>1</v>
      </c>
      <c r="R43" s="101" t="b">
        <f t="shared" si="1"/>
        <v>1</v>
      </c>
      <c r="S43" s="101" t="b">
        <f t="shared" si="2"/>
        <v>1</v>
      </c>
      <c r="T43" s="167">
        <f t="shared" si="3"/>
        <v>1681.3800000000338</v>
      </c>
      <c r="U43" s="167">
        <f t="shared" si="4"/>
        <v>1681.3800000000047</v>
      </c>
      <c r="V43" s="167">
        <f t="shared" si="5"/>
        <v>1681.3800000000338</v>
      </c>
    </row>
    <row r="44" spans="1:22" s="90" customFormat="1" ht="20.100000000000001" customHeight="1">
      <c r="A44" s="347"/>
      <c r="B44" s="178" t="s">
        <v>132</v>
      </c>
      <c r="C44" s="238" t="s">
        <v>335</v>
      </c>
      <c r="D44" s="239" t="s">
        <v>171</v>
      </c>
      <c r="E44" s="240">
        <f>'Вед-я стр-ра'!H425</f>
        <v>106660.24</v>
      </c>
      <c r="F44" s="240">
        <f>'Вед-я стр-ра'!I425</f>
        <v>104078.23000000001</v>
      </c>
      <c r="G44" s="240">
        <f>'Вед-я стр-ра'!J425</f>
        <v>104216.84000000001</v>
      </c>
      <c r="H44" s="240">
        <v>106660.24</v>
      </c>
      <c r="I44" s="240">
        <v>104078.23000000001</v>
      </c>
      <c r="J44" s="240">
        <v>104216.84000000001</v>
      </c>
      <c r="K44" s="178" t="s">
        <v>132</v>
      </c>
      <c r="L44" s="238" t="s">
        <v>335</v>
      </c>
      <c r="M44" s="239" t="s">
        <v>171</v>
      </c>
      <c r="N44" s="240">
        <v>105926.75</v>
      </c>
      <c r="O44" s="240">
        <v>103344.74</v>
      </c>
      <c r="P44" s="240">
        <v>103483.35</v>
      </c>
      <c r="Q44" s="101" t="b">
        <f t="shared" si="0"/>
        <v>1</v>
      </c>
      <c r="R44" s="101" t="b">
        <f t="shared" si="1"/>
        <v>1</v>
      </c>
      <c r="S44" s="101" t="b">
        <f t="shared" si="2"/>
        <v>1</v>
      </c>
      <c r="T44" s="167">
        <f t="shared" si="3"/>
        <v>733.49000000000524</v>
      </c>
      <c r="U44" s="167">
        <f t="shared" si="4"/>
        <v>733.49000000000524</v>
      </c>
      <c r="V44" s="167">
        <f t="shared" si="5"/>
        <v>733.49000000000524</v>
      </c>
    </row>
    <row r="45" spans="1:22" s="90" customFormat="1" ht="20.100000000000001" customHeight="1">
      <c r="A45" s="347"/>
      <c r="B45" s="178" t="s">
        <v>133</v>
      </c>
      <c r="C45" s="238" t="s">
        <v>335</v>
      </c>
      <c r="D45" s="239" t="s">
        <v>19</v>
      </c>
      <c r="E45" s="240">
        <f>'Вед-я стр-ра'!H426</f>
        <v>154483.62000000002</v>
      </c>
      <c r="F45" s="240">
        <f>'Вед-я стр-ра'!I426</f>
        <v>157445.35</v>
      </c>
      <c r="G45" s="240">
        <f>'Вед-я стр-ра'!J426</f>
        <v>157729.38</v>
      </c>
      <c r="H45" s="240">
        <v>154483.62000000002</v>
      </c>
      <c r="I45" s="240">
        <v>157445.35</v>
      </c>
      <c r="J45" s="240">
        <v>157729.38</v>
      </c>
      <c r="K45" s="178" t="s">
        <v>133</v>
      </c>
      <c r="L45" s="238" t="s">
        <v>335</v>
      </c>
      <c r="M45" s="239" t="s">
        <v>19</v>
      </c>
      <c r="N45" s="240">
        <v>153535.73000000001</v>
      </c>
      <c r="O45" s="240">
        <v>156497.46</v>
      </c>
      <c r="P45" s="240">
        <v>156781.49</v>
      </c>
      <c r="Q45" s="101" t="b">
        <f t="shared" si="0"/>
        <v>1</v>
      </c>
      <c r="R45" s="101" t="b">
        <f t="shared" si="1"/>
        <v>1</v>
      </c>
      <c r="S45" s="101" t="b">
        <f t="shared" si="2"/>
        <v>1</v>
      </c>
      <c r="T45" s="167">
        <f t="shared" si="3"/>
        <v>947.89000000001397</v>
      </c>
      <c r="U45" s="167">
        <f t="shared" si="4"/>
        <v>947.89000000001397</v>
      </c>
      <c r="V45" s="167">
        <f t="shared" si="5"/>
        <v>947.89000000001397</v>
      </c>
    </row>
    <row r="46" spans="1:22" s="90" customFormat="1" ht="20.100000000000001" customHeight="1">
      <c r="A46" s="347"/>
      <c r="B46" s="23" t="s">
        <v>1060</v>
      </c>
      <c r="C46" s="37" t="s">
        <v>1045</v>
      </c>
      <c r="D46" s="37" t="s">
        <v>90</v>
      </c>
      <c r="E46" s="183">
        <f>E47+E50</f>
        <v>31808.15</v>
      </c>
      <c r="F46" s="183">
        <f t="shared" ref="F46:G46" si="9">F47+F50</f>
        <v>31808.15</v>
      </c>
      <c r="G46" s="183">
        <f t="shared" si="9"/>
        <v>31808.15</v>
      </c>
      <c r="H46" s="183">
        <v>31808.15</v>
      </c>
      <c r="I46" s="183">
        <v>31808.15</v>
      </c>
      <c r="J46" s="183">
        <v>31808.15</v>
      </c>
      <c r="K46" s="23" t="s">
        <v>1060</v>
      </c>
      <c r="L46" s="37" t="s">
        <v>1045</v>
      </c>
      <c r="M46" s="37" t="s">
        <v>90</v>
      </c>
      <c r="N46" s="183">
        <v>31808.15</v>
      </c>
      <c r="O46" s="183">
        <v>31808.15</v>
      </c>
      <c r="P46" s="183">
        <v>31808.15</v>
      </c>
      <c r="Q46" s="101" t="b">
        <f t="shared" si="0"/>
        <v>1</v>
      </c>
      <c r="R46" s="101" t="b">
        <f t="shared" si="1"/>
        <v>1</v>
      </c>
      <c r="S46" s="101" t="b">
        <f t="shared" si="2"/>
        <v>1</v>
      </c>
      <c r="T46" s="167">
        <f t="shared" si="3"/>
        <v>0</v>
      </c>
      <c r="U46" s="167">
        <f t="shared" si="4"/>
        <v>0</v>
      </c>
      <c r="V46" s="167">
        <f t="shared" si="5"/>
        <v>0</v>
      </c>
    </row>
    <row r="47" spans="1:22" s="90" customFormat="1" ht="20.100000000000001" customHeight="1">
      <c r="A47" s="347"/>
      <c r="B47" s="23" t="s">
        <v>1124</v>
      </c>
      <c r="C47" s="37" t="s">
        <v>1125</v>
      </c>
      <c r="D47" s="37" t="s">
        <v>90</v>
      </c>
      <c r="E47" s="183">
        <f>E48+E49</f>
        <v>6510.11</v>
      </c>
      <c r="F47" s="183">
        <f t="shared" ref="F47:G47" si="10">F48+F49</f>
        <v>6510.11</v>
      </c>
      <c r="G47" s="183">
        <f t="shared" si="10"/>
        <v>6510.11</v>
      </c>
      <c r="H47" s="183">
        <v>6510.11</v>
      </c>
      <c r="I47" s="183">
        <v>6510.11</v>
      </c>
      <c r="J47" s="183">
        <v>6510.11</v>
      </c>
      <c r="K47" s="23" t="s">
        <v>1124</v>
      </c>
      <c r="L47" s="37" t="s">
        <v>1125</v>
      </c>
      <c r="M47" s="37" t="s">
        <v>90</v>
      </c>
      <c r="N47" s="183">
        <v>6510.11</v>
      </c>
      <c r="O47" s="183">
        <v>6510.11</v>
      </c>
      <c r="P47" s="183">
        <v>6510.11</v>
      </c>
      <c r="Q47" s="101" t="b">
        <f t="shared" si="0"/>
        <v>1</v>
      </c>
      <c r="R47" s="101" t="b">
        <f t="shared" si="1"/>
        <v>1</v>
      </c>
      <c r="S47" s="101" t="b">
        <f t="shared" si="2"/>
        <v>1</v>
      </c>
      <c r="T47" s="167">
        <f t="shared" si="3"/>
        <v>0</v>
      </c>
      <c r="U47" s="167">
        <f t="shared" si="4"/>
        <v>0</v>
      </c>
      <c r="V47" s="167">
        <f t="shared" si="5"/>
        <v>0</v>
      </c>
    </row>
    <row r="48" spans="1:22" s="90" customFormat="1" ht="20.100000000000001" customHeight="1">
      <c r="A48" s="347"/>
      <c r="B48" s="23" t="s">
        <v>132</v>
      </c>
      <c r="C48" s="37" t="s">
        <v>1125</v>
      </c>
      <c r="D48" s="37" t="s">
        <v>171</v>
      </c>
      <c r="E48" s="183">
        <f>'Вед-я стр-ра'!H456</f>
        <v>5442.58</v>
      </c>
      <c r="F48" s="183">
        <f>'Вед-я стр-ра'!I456</f>
        <v>5442.58</v>
      </c>
      <c r="G48" s="183">
        <f>'Вед-я стр-ра'!J456</f>
        <v>5442.58</v>
      </c>
      <c r="H48" s="183">
        <v>5442.58</v>
      </c>
      <c r="I48" s="183">
        <v>5442.58</v>
      </c>
      <c r="J48" s="183">
        <v>5442.58</v>
      </c>
      <c r="K48" s="23" t="s">
        <v>132</v>
      </c>
      <c r="L48" s="37" t="s">
        <v>1125</v>
      </c>
      <c r="M48" s="37" t="s">
        <v>171</v>
      </c>
      <c r="N48" s="183">
        <v>5442.58</v>
      </c>
      <c r="O48" s="183">
        <v>5442.58</v>
      </c>
      <c r="P48" s="183">
        <v>5442.58</v>
      </c>
      <c r="Q48" s="101" t="b">
        <f t="shared" si="0"/>
        <v>1</v>
      </c>
      <c r="R48" s="101" t="b">
        <f t="shared" si="1"/>
        <v>1</v>
      </c>
      <c r="S48" s="101" t="b">
        <f t="shared" si="2"/>
        <v>1</v>
      </c>
      <c r="T48" s="167">
        <f t="shared" si="3"/>
        <v>0</v>
      </c>
      <c r="U48" s="167">
        <f t="shared" si="4"/>
        <v>0</v>
      </c>
      <c r="V48" s="167">
        <f t="shared" si="5"/>
        <v>0</v>
      </c>
    </row>
    <row r="49" spans="1:22" s="90" customFormat="1" ht="20.100000000000001" customHeight="1">
      <c r="A49" s="347"/>
      <c r="B49" s="23" t="s">
        <v>133</v>
      </c>
      <c r="C49" s="37" t="s">
        <v>1125</v>
      </c>
      <c r="D49" s="37" t="s">
        <v>19</v>
      </c>
      <c r="E49" s="183">
        <f>'Вед-я стр-ра'!H457</f>
        <v>1067.53</v>
      </c>
      <c r="F49" s="183">
        <f>'Вед-я стр-ра'!I457</f>
        <v>1067.53</v>
      </c>
      <c r="G49" s="183">
        <f>'Вед-я стр-ра'!J457</f>
        <v>1067.53</v>
      </c>
      <c r="H49" s="183">
        <v>1067.53</v>
      </c>
      <c r="I49" s="183">
        <v>1067.53</v>
      </c>
      <c r="J49" s="183">
        <v>1067.53</v>
      </c>
      <c r="K49" s="23" t="s">
        <v>133</v>
      </c>
      <c r="L49" s="37" t="s">
        <v>1125</v>
      </c>
      <c r="M49" s="37" t="s">
        <v>19</v>
      </c>
      <c r="N49" s="183">
        <v>1067.53</v>
      </c>
      <c r="O49" s="183">
        <v>1067.53</v>
      </c>
      <c r="P49" s="183">
        <v>1067.53</v>
      </c>
      <c r="Q49" s="101" t="b">
        <f t="shared" si="0"/>
        <v>1</v>
      </c>
      <c r="R49" s="101" t="b">
        <f t="shared" si="1"/>
        <v>1</v>
      </c>
      <c r="S49" s="101" t="b">
        <f t="shared" si="2"/>
        <v>1</v>
      </c>
      <c r="T49" s="167">
        <f t="shared" si="3"/>
        <v>0</v>
      </c>
      <c r="U49" s="167">
        <f t="shared" si="4"/>
        <v>0</v>
      </c>
      <c r="V49" s="167">
        <f t="shared" si="5"/>
        <v>0</v>
      </c>
    </row>
    <row r="50" spans="1:22" s="90" customFormat="1" ht="20.100000000000001" customHeight="1">
      <c r="A50" s="347"/>
      <c r="B50" s="23" t="s">
        <v>1269</v>
      </c>
      <c r="C50" s="37" t="s">
        <v>1046</v>
      </c>
      <c r="D50" s="37" t="s">
        <v>90</v>
      </c>
      <c r="E50" s="183">
        <f>E51+E52</f>
        <v>25298.04</v>
      </c>
      <c r="F50" s="183">
        <f t="shared" ref="F50:G50" si="11">F51+F52</f>
        <v>25298.04</v>
      </c>
      <c r="G50" s="183">
        <f t="shared" si="11"/>
        <v>25298.04</v>
      </c>
      <c r="H50" s="183">
        <v>25298.04</v>
      </c>
      <c r="I50" s="183">
        <v>25298.04</v>
      </c>
      <c r="J50" s="183">
        <v>25298.04</v>
      </c>
      <c r="K50" s="23" t="s">
        <v>1059</v>
      </c>
      <c r="L50" s="37" t="s">
        <v>1046</v>
      </c>
      <c r="M50" s="37" t="s">
        <v>90</v>
      </c>
      <c r="N50" s="183">
        <v>25298.04</v>
      </c>
      <c r="O50" s="183">
        <v>25298.04</v>
      </c>
      <c r="P50" s="183">
        <v>25298.04</v>
      </c>
      <c r="Q50" s="101" t="b">
        <f t="shared" si="0"/>
        <v>0</v>
      </c>
      <c r="R50" s="101" t="b">
        <f t="shared" si="1"/>
        <v>1</v>
      </c>
      <c r="S50" s="101" t="b">
        <f t="shared" si="2"/>
        <v>1</v>
      </c>
      <c r="T50" s="167">
        <f t="shared" si="3"/>
        <v>0</v>
      </c>
      <c r="U50" s="167">
        <f t="shared" si="4"/>
        <v>0</v>
      </c>
      <c r="V50" s="167">
        <f t="shared" si="5"/>
        <v>0</v>
      </c>
    </row>
    <row r="51" spans="1:22" s="90" customFormat="1" ht="20.100000000000001" customHeight="1">
      <c r="A51" s="347"/>
      <c r="B51" s="23" t="s">
        <v>132</v>
      </c>
      <c r="C51" s="37" t="s">
        <v>1046</v>
      </c>
      <c r="D51" s="37" t="s">
        <v>171</v>
      </c>
      <c r="E51" s="183">
        <f>'Вед-я стр-ра'!H459</f>
        <v>20375.75</v>
      </c>
      <c r="F51" s="183">
        <f>'Вед-я стр-ра'!I459</f>
        <v>20375.75</v>
      </c>
      <c r="G51" s="183">
        <f>'Вед-я стр-ра'!J459</f>
        <v>20375.75</v>
      </c>
      <c r="H51" s="183">
        <v>20375.75</v>
      </c>
      <c r="I51" s="183">
        <v>20375.75</v>
      </c>
      <c r="J51" s="183">
        <v>20375.75</v>
      </c>
      <c r="K51" s="23" t="s">
        <v>132</v>
      </c>
      <c r="L51" s="37" t="s">
        <v>1046</v>
      </c>
      <c r="M51" s="37" t="s">
        <v>171</v>
      </c>
      <c r="N51" s="183">
        <v>20375.75</v>
      </c>
      <c r="O51" s="183">
        <v>20375.75</v>
      </c>
      <c r="P51" s="183">
        <v>20375.75</v>
      </c>
      <c r="Q51" s="101" t="b">
        <f t="shared" si="0"/>
        <v>1</v>
      </c>
      <c r="R51" s="101" t="b">
        <f t="shared" si="1"/>
        <v>1</v>
      </c>
      <c r="S51" s="101" t="b">
        <f t="shared" si="2"/>
        <v>1</v>
      </c>
      <c r="T51" s="167">
        <f t="shared" si="3"/>
        <v>0</v>
      </c>
      <c r="U51" s="167">
        <f t="shared" si="4"/>
        <v>0</v>
      </c>
      <c r="V51" s="167">
        <f t="shared" si="5"/>
        <v>0</v>
      </c>
    </row>
    <row r="52" spans="1:22" s="90" customFormat="1" ht="20.100000000000001" customHeight="1">
      <c r="A52" s="347"/>
      <c r="B52" s="23" t="s">
        <v>133</v>
      </c>
      <c r="C52" s="37" t="s">
        <v>1046</v>
      </c>
      <c r="D52" s="37" t="s">
        <v>19</v>
      </c>
      <c r="E52" s="183">
        <f>'Вед-я стр-ра'!H460</f>
        <v>4922.29</v>
      </c>
      <c r="F52" s="183">
        <f>'Вед-я стр-ра'!I460</f>
        <v>4922.29</v>
      </c>
      <c r="G52" s="183">
        <f>'Вед-я стр-ра'!J460</f>
        <v>4922.29</v>
      </c>
      <c r="H52" s="183">
        <v>4922.29</v>
      </c>
      <c r="I52" s="183">
        <v>4922.29</v>
      </c>
      <c r="J52" s="183">
        <v>4922.29</v>
      </c>
      <c r="K52" s="23" t="s">
        <v>133</v>
      </c>
      <c r="L52" s="37" t="s">
        <v>1046</v>
      </c>
      <c r="M52" s="37" t="s">
        <v>19</v>
      </c>
      <c r="N52" s="183">
        <v>4922.29</v>
      </c>
      <c r="O52" s="183">
        <v>4922.29</v>
      </c>
      <c r="P52" s="183">
        <v>4922.29</v>
      </c>
      <c r="Q52" s="101" t="b">
        <f t="shared" si="0"/>
        <v>1</v>
      </c>
      <c r="R52" s="101" t="b">
        <f t="shared" si="1"/>
        <v>1</v>
      </c>
      <c r="S52" s="101" t="b">
        <f t="shared" si="2"/>
        <v>1</v>
      </c>
      <c r="T52" s="167">
        <f t="shared" si="3"/>
        <v>0</v>
      </c>
      <c r="U52" s="167">
        <f t="shared" si="4"/>
        <v>0</v>
      </c>
      <c r="V52" s="167">
        <f t="shared" si="5"/>
        <v>0</v>
      </c>
    </row>
    <row r="53" spans="1:22" s="90" customFormat="1" ht="20.100000000000001" customHeight="1">
      <c r="A53" s="347"/>
      <c r="B53" s="23" t="s">
        <v>544</v>
      </c>
      <c r="C53" s="37" t="s">
        <v>336</v>
      </c>
      <c r="D53" s="37" t="s">
        <v>90</v>
      </c>
      <c r="E53" s="240">
        <f>E54</f>
        <v>8495.0500000000011</v>
      </c>
      <c r="F53" s="240">
        <f>F54</f>
        <v>8385.0500000000011</v>
      </c>
      <c r="G53" s="240">
        <f>G54</f>
        <v>8385.0500000000011</v>
      </c>
      <c r="H53" s="240">
        <v>8495.0500000000011</v>
      </c>
      <c r="I53" s="240">
        <v>8385.0500000000011</v>
      </c>
      <c r="J53" s="240">
        <v>8385.0500000000011</v>
      </c>
      <c r="K53" s="23" t="s">
        <v>544</v>
      </c>
      <c r="L53" s="37" t="s">
        <v>336</v>
      </c>
      <c r="M53" s="37" t="s">
        <v>90</v>
      </c>
      <c r="N53" s="240">
        <v>8245.25</v>
      </c>
      <c r="O53" s="240">
        <v>8135.25</v>
      </c>
      <c r="P53" s="240">
        <v>8135.25</v>
      </c>
      <c r="Q53" s="101" t="b">
        <f t="shared" si="0"/>
        <v>1</v>
      </c>
      <c r="R53" s="101" t="b">
        <f t="shared" si="1"/>
        <v>1</v>
      </c>
      <c r="S53" s="101" t="b">
        <f t="shared" si="2"/>
        <v>1</v>
      </c>
      <c r="T53" s="167">
        <f t="shared" si="3"/>
        <v>249.80000000000109</v>
      </c>
      <c r="U53" s="167">
        <f t="shared" si="4"/>
        <v>249.80000000000109</v>
      </c>
      <c r="V53" s="167">
        <f t="shared" si="5"/>
        <v>249.80000000000109</v>
      </c>
    </row>
    <row r="54" spans="1:22" s="90" customFormat="1" ht="20.100000000000001" customHeight="1">
      <c r="A54" s="347"/>
      <c r="B54" s="23" t="s">
        <v>987</v>
      </c>
      <c r="C54" s="37" t="s">
        <v>543</v>
      </c>
      <c r="D54" s="37" t="s">
        <v>90</v>
      </c>
      <c r="E54" s="240">
        <f>E55+E56</f>
        <v>8495.0500000000011</v>
      </c>
      <c r="F54" s="240">
        <f>F55+F56</f>
        <v>8385.0500000000011</v>
      </c>
      <c r="G54" s="240">
        <f>G55+G56</f>
        <v>8385.0500000000011</v>
      </c>
      <c r="H54" s="240">
        <v>8495.0500000000011</v>
      </c>
      <c r="I54" s="240">
        <v>8385.0500000000011</v>
      </c>
      <c r="J54" s="240">
        <v>8385.0500000000011</v>
      </c>
      <c r="K54" s="23" t="s">
        <v>987</v>
      </c>
      <c r="L54" s="37" t="s">
        <v>543</v>
      </c>
      <c r="M54" s="37" t="s">
        <v>90</v>
      </c>
      <c r="N54" s="240">
        <v>8245.25</v>
      </c>
      <c r="O54" s="240">
        <v>8135.25</v>
      </c>
      <c r="P54" s="240">
        <v>8135.25</v>
      </c>
      <c r="Q54" s="101" t="b">
        <f t="shared" si="0"/>
        <v>1</v>
      </c>
      <c r="R54" s="101" t="b">
        <f t="shared" si="1"/>
        <v>1</v>
      </c>
      <c r="S54" s="101" t="b">
        <f t="shared" si="2"/>
        <v>1</v>
      </c>
      <c r="T54" s="167">
        <f t="shared" si="3"/>
        <v>249.80000000000109</v>
      </c>
      <c r="U54" s="167">
        <f t="shared" si="4"/>
        <v>249.80000000000109</v>
      </c>
      <c r="V54" s="167">
        <f t="shared" si="5"/>
        <v>249.80000000000109</v>
      </c>
    </row>
    <row r="55" spans="1:22" s="90" customFormat="1" ht="20.100000000000001" customHeight="1">
      <c r="A55" s="347"/>
      <c r="B55" s="180" t="s">
        <v>132</v>
      </c>
      <c r="C55" s="238" t="s">
        <v>543</v>
      </c>
      <c r="D55" s="239" t="s">
        <v>171</v>
      </c>
      <c r="E55" s="240">
        <f>'Вед-я стр-ра'!H463</f>
        <v>8149.76</v>
      </c>
      <c r="F55" s="240">
        <f>'Вед-я стр-ра'!I463</f>
        <v>8039.76</v>
      </c>
      <c r="G55" s="240">
        <f>'Вед-я стр-ра'!J463</f>
        <v>8039.76</v>
      </c>
      <c r="H55" s="240">
        <v>8149.76</v>
      </c>
      <c r="I55" s="240">
        <v>8039.76</v>
      </c>
      <c r="J55" s="240">
        <v>8039.76</v>
      </c>
      <c r="K55" s="180" t="s">
        <v>132</v>
      </c>
      <c r="L55" s="238" t="s">
        <v>543</v>
      </c>
      <c r="M55" s="239" t="s">
        <v>171</v>
      </c>
      <c r="N55" s="240">
        <v>7899.96</v>
      </c>
      <c r="O55" s="240">
        <v>7789.96</v>
      </c>
      <c r="P55" s="240">
        <v>7789.96</v>
      </c>
      <c r="Q55" s="101" t="b">
        <f t="shared" si="0"/>
        <v>1</v>
      </c>
      <c r="R55" s="101" t="b">
        <f t="shared" si="1"/>
        <v>1</v>
      </c>
      <c r="S55" s="101" t="b">
        <f t="shared" si="2"/>
        <v>1</v>
      </c>
      <c r="T55" s="167">
        <f t="shared" si="3"/>
        <v>249.80000000000018</v>
      </c>
      <c r="U55" s="167">
        <f t="shared" si="4"/>
        <v>249.80000000000018</v>
      </c>
      <c r="V55" s="167">
        <f t="shared" si="5"/>
        <v>249.80000000000018</v>
      </c>
    </row>
    <row r="56" spans="1:22" s="90" customFormat="1" ht="20.100000000000001" customHeight="1">
      <c r="A56" s="347"/>
      <c r="B56" s="180" t="s">
        <v>133</v>
      </c>
      <c r="C56" s="238" t="s">
        <v>543</v>
      </c>
      <c r="D56" s="239" t="s">
        <v>19</v>
      </c>
      <c r="E56" s="240">
        <f>'Вед-я стр-ра'!H464</f>
        <v>345.29</v>
      </c>
      <c r="F56" s="240">
        <f>'Вед-я стр-ра'!I464</f>
        <v>345.29</v>
      </c>
      <c r="G56" s="240">
        <f>'Вед-я стр-ра'!J464</f>
        <v>345.29</v>
      </c>
      <c r="H56" s="240">
        <v>345.29</v>
      </c>
      <c r="I56" s="240">
        <v>345.29</v>
      </c>
      <c r="J56" s="240">
        <v>345.29</v>
      </c>
      <c r="K56" s="180" t="s">
        <v>133</v>
      </c>
      <c r="L56" s="238" t="s">
        <v>543</v>
      </c>
      <c r="M56" s="239" t="s">
        <v>19</v>
      </c>
      <c r="N56" s="240">
        <v>345.29</v>
      </c>
      <c r="O56" s="240">
        <v>345.29</v>
      </c>
      <c r="P56" s="240">
        <v>345.29</v>
      </c>
      <c r="Q56" s="101" t="b">
        <f t="shared" si="0"/>
        <v>1</v>
      </c>
      <c r="R56" s="101" t="b">
        <f t="shared" si="1"/>
        <v>1</v>
      </c>
      <c r="S56" s="101" t="b">
        <f t="shared" si="2"/>
        <v>1</v>
      </c>
      <c r="T56" s="167">
        <f t="shared" si="3"/>
        <v>0</v>
      </c>
      <c r="U56" s="167">
        <f t="shared" si="4"/>
        <v>0</v>
      </c>
      <c r="V56" s="167">
        <f t="shared" si="5"/>
        <v>0</v>
      </c>
    </row>
    <row r="57" spans="1:22" s="90" customFormat="1" ht="20.100000000000001" customHeight="1">
      <c r="A57" s="347"/>
      <c r="B57" s="180" t="s">
        <v>541</v>
      </c>
      <c r="C57" s="238" t="s">
        <v>321</v>
      </c>
      <c r="D57" s="239" t="s">
        <v>90</v>
      </c>
      <c r="E57" s="240">
        <f>E58+E61+E63</f>
        <v>2032814.94</v>
      </c>
      <c r="F57" s="240">
        <f>F58+F61+F63</f>
        <v>596614.5</v>
      </c>
      <c r="G57" s="240">
        <f>G58+G61+G63</f>
        <v>594954.94000000006</v>
      </c>
      <c r="H57" s="240">
        <v>1844860.48</v>
      </c>
      <c r="I57" s="240">
        <v>14184.939999999999</v>
      </c>
      <c r="J57" s="240">
        <v>0</v>
      </c>
      <c r="K57" s="180" t="s">
        <v>541</v>
      </c>
      <c r="L57" s="238" t="s">
        <v>321</v>
      </c>
      <c r="M57" s="239" t="s">
        <v>90</v>
      </c>
      <c r="N57" s="240">
        <v>1844860.48</v>
      </c>
      <c r="O57" s="240">
        <v>14184.939999999999</v>
      </c>
      <c r="P57" s="240">
        <v>14184.939999999999</v>
      </c>
      <c r="Q57" s="101" t="b">
        <f t="shared" si="0"/>
        <v>1</v>
      </c>
      <c r="R57" s="101" t="b">
        <f t="shared" si="1"/>
        <v>1</v>
      </c>
      <c r="S57" s="101" t="b">
        <f t="shared" si="2"/>
        <v>1</v>
      </c>
      <c r="T57" s="167">
        <f t="shared" si="3"/>
        <v>187954.45999999996</v>
      </c>
      <c r="U57" s="167">
        <f t="shared" si="4"/>
        <v>582429.56000000006</v>
      </c>
      <c r="V57" s="167">
        <f t="shared" si="5"/>
        <v>580770.00000000012</v>
      </c>
    </row>
    <row r="58" spans="1:22" s="90" customFormat="1" ht="20.100000000000001" customHeight="1">
      <c r="A58" s="347"/>
      <c r="B58" s="180" t="s">
        <v>254</v>
      </c>
      <c r="C58" s="238" t="s">
        <v>322</v>
      </c>
      <c r="D58" s="239" t="s">
        <v>90</v>
      </c>
      <c r="E58" s="240">
        <f>E59+E60</f>
        <v>14184.939999999999</v>
      </c>
      <c r="F58" s="240">
        <f>F59+F60</f>
        <v>14184.939999999999</v>
      </c>
      <c r="G58" s="240">
        <f>G59+G60</f>
        <v>0</v>
      </c>
      <c r="H58" s="240">
        <v>15860.689999999999</v>
      </c>
      <c r="I58" s="240">
        <v>14184.939999999999</v>
      </c>
      <c r="J58" s="240">
        <v>0</v>
      </c>
      <c r="K58" s="180" t="s">
        <v>254</v>
      </c>
      <c r="L58" s="238" t="s">
        <v>322</v>
      </c>
      <c r="M58" s="239" t="s">
        <v>90</v>
      </c>
      <c r="N58" s="240">
        <v>15860.689999999999</v>
      </c>
      <c r="O58" s="240">
        <v>14184.939999999999</v>
      </c>
      <c r="P58" s="240">
        <v>14184.939999999999</v>
      </c>
      <c r="Q58" s="101" t="b">
        <f t="shared" si="0"/>
        <v>1</v>
      </c>
      <c r="R58" s="101" t="b">
        <f t="shared" si="1"/>
        <v>1</v>
      </c>
      <c r="S58" s="101" t="b">
        <f t="shared" si="2"/>
        <v>1</v>
      </c>
      <c r="T58" s="167">
        <f t="shared" si="3"/>
        <v>-1675.75</v>
      </c>
      <c r="U58" s="167">
        <f t="shared" si="4"/>
        <v>0</v>
      </c>
      <c r="V58" s="167">
        <f t="shared" si="5"/>
        <v>-14184.939999999999</v>
      </c>
    </row>
    <row r="59" spans="1:22" s="90" customFormat="1" ht="20.100000000000001" customHeight="1">
      <c r="A59" s="347"/>
      <c r="B59" s="180" t="s">
        <v>132</v>
      </c>
      <c r="C59" s="238" t="s">
        <v>322</v>
      </c>
      <c r="D59" s="239" t="s">
        <v>171</v>
      </c>
      <c r="E59" s="240">
        <f>'Вед-я стр-ра'!H336+'Вед-я стр-ра'!H374</f>
        <v>13333.96</v>
      </c>
      <c r="F59" s="240">
        <f>'Вед-я стр-ра'!I336+'Вед-я стр-ра'!I374</f>
        <v>13333.96</v>
      </c>
      <c r="G59" s="240">
        <f>'Вед-я стр-ра'!J336+'Вед-я стр-ра'!J374</f>
        <v>0</v>
      </c>
      <c r="H59" s="240">
        <v>15009.71</v>
      </c>
      <c r="I59" s="240">
        <v>13333.96</v>
      </c>
      <c r="J59" s="240">
        <v>0</v>
      </c>
      <c r="K59" s="180" t="s">
        <v>132</v>
      </c>
      <c r="L59" s="238" t="s">
        <v>322</v>
      </c>
      <c r="M59" s="239" t="s">
        <v>171</v>
      </c>
      <c r="N59" s="240">
        <v>15009.71</v>
      </c>
      <c r="O59" s="240">
        <v>13333.96</v>
      </c>
      <c r="P59" s="240">
        <v>13333.96</v>
      </c>
      <c r="Q59" s="101" t="b">
        <f t="shared" si="0"/>
        <v>1</v>
      </c>
      <c r="R59" s="101" t="b">
        <f t="shared" si="1"/>
        <v>1</v>
      </c>
      <c r="S59" s="101" t="b">
        <f t="shared" si="2"/>
        <v>1</v>
      </c>
      <c r="T59" s="167">
        <f t="shared" si="3"/>
        <v>-1675.75</v>
      </c>
      <c r="U59" s="167">
        <f t="shared" si="4"/>
        <v>0</v>
      </c>
      <c r="V59" s="167">
        <f t="shared" si="5"/>
        <v>-13333.96</v>
      </c>
    </row>
    <row r="60" spans="1:22" s="90" customFormat="1" ht="20.100000000000001" customHeight="1">
      <c r="A60" s="347"/>
      <c r="B60" s="180" t="s">
        <v>133</v>
      </c>
      <c r="C60" s="238" t="s">
        <v>322</v>
      </c>
      <c r="D60" s="239" t="s">
        <v>19</v>
      </c>
      <c r="E60" s="240">
        <f>'Вед-я стр-ра'!H429+'Вед-я стр-ра'!H375</f>
        <v>850.98</v>
      </c>
      <c r="F60" s="240">
        <f>'Вед-я стр-ра'!I429+'Вед-я стр-ра'!I375</f>
        <v>850.98</v>
      </c>
      <c r="G60" s="240">
        <f>'Вед-я стр-ра'!J429+'Вед-я стр-ра'!J375</f>
        <v>0</v>
      </c>
      <c r="H60" s="240">
        <v>850.98</v>
      </c>
      <c r="I60" s="240">
        <v>850.98</v>
      </c>
      <c r="J60" s="240">
        <v>0</v>
      </c>
      <c r="K60" s="180" t="s">
        <v>133</v>
      </c>
      <c r="L60" s="238" t="s">
        <v>322</v>
      </c>
      <c r="M60" s="239" t="s">
        <v>19</v>
      </c>
      <c r="N60" s="240">
        <v>850.98</v>
      </c>
      <c r="O60" s="240">
        <v>850.98</v>
      </c>
      <c r="P60" s="240">
        <v>850.98</v>
      </c>
      <c r="Q60" s="101" t="b">
        <f t="shared" si="0"/>
        <v>1</v>
      </c>
      <c r="R60" s="101" t="b">
        <f t="shared" si="1"/>
        <v>1</v>
      </c>
      <c r="S60" s="101" t="b">
        <f t="shared" si="2"/>
        <v>1</v>
      </c>
      <c r="T60" s="167">
        <f t="shared" si="3"/>
        <v>0</v>
      </c>
      <c r="U60" s="167">
        <f t="shared" si="4"/>
        <v>0</v>
      </c>
      <c r="V60" s="167">
        <f t="shared" si="5"/>
        <v>-850.98</v>
      </c>
    </row>
    <row r="61" spans="1:22" s="90" customFormat="1" ht="20.100000000000001" customHeight="1">
      <c r="A61" s="347"/>
      <c r="B61" s="182" t="s">
        <v>1085</v>
      </c>
      <c r="C61" s="37" t="s">
        <v>1118</v>
      </c>
      <c r="D61" s="37" t="s">
        <v>90</v>
      </c>
      <c r="E61" s="183">
        <f>E62</f>
        <v>1395808.3</v>
      </c>
      <c r="F61" s="183">
        <f>F62</f>
        <v>582429.56000000006</v>
      </c>
      <c r="G61" s="183">
        <f>G62</f>
        <v>594954.94000000006</v>
      </c>
      <c r="H61" s="183">
        <v>1242182.51</v>
      </c>
      <c r="I61" s="183">
        <v>0</v>
      </c>
      <c r="J61" s="183">
        <v>0</v>
      </c>
      <c r="K61" s="182" t="s">
        <v>1085</v>
      </c>
      <c r="L61" s="37" t="s">
        <v>1118</v>
      </c>
      <c r="M61" s="37" t="s">
        <v>90</v>
      </c>
      <c r="N61" s="183">
        <v>1242182.51</v>
      </c>
      <c r="O61" s="183">
        <v>0</v>
      </c>
      <c r="P61" s="183">
        <v>0</v>
      </c>
      <c r="Q61" s="101" t="b">
        <f t="shared" si="0"/>
        <v>1</v>
      </c>
      <c r="R61" s="101" t="b">
        <f t="shared" si="1"/>
        <v>1</v>
      </c>
      <c r="S61" s="101" t="b">
        <f t="shared" si="2"/>
        <v>1</v>
      </c>
      <c r="T61" s="167">
        <f t="shared" si="3"/>
        <v>153625.79000000004</v>
      </c>
      <c r="U61" s="167">
        <f t="shared" si="4"/>
        <v>582429.56000000006</v>
      </c>
      <c r="V61" s="167">
        <f t="shared" si="5"/>
        <v>594954.94000000006</v>
      </c>
    </row>
    <row r="62" spans="1:22" s="90" customFormat="1" ht="20.100000000000001" customHeight="1">
      <c r="A62" s="347"/>
      <c r="B62" s="23" t="s">
        <v>132</v>
      </c>
      <c r="C62" s="37" t="s">
        <v>1118</v>
      </c>
      <c r="D62" s="37" t="s">
        <v>171</v>
      </c>
      <c r="E62" s="183">
        <f>'Вед-я стр-ра'!H377</f>
        <v>1395808.3</v>
      </c>
      <c r="F62" s="183">
        <f>'Вед-я стр-ра'!I377</f>
        <v>582429.56000000006</v>
      </c>
      <c r="G62" s="183">
        <f>'Вед-я стр-ра'!J377</f>
        <v>594954.94000000006</v>
      </c>
      <c r="H62" s="183">
        <v>1242182.51</v>
      </c>
      <c r="I62" s="183">
        <v>0</v>
      </c>
      <c r="J62" s="183">
        <v>0</v>
      </c>
      <c r="K62" s="23" t="s">
        <v>132</v>
      </c>
      <c r="L62" s="37" t="s">
        <v>1118</v>
      </c>
      <c r="M62" s="37" t="s">
        <v>171</v>
      </c>
      <c r="N62" s="183">
        <v>1242182.51</v>
      </c>
      <c r="O62" s="183">
        <v>0</v>
      </c>
      <c r="P62" s="183">
        <v>0</v>
      </c>
      <c r="Q62" s="101" t="b">
        <f t="shared" si="0"/>
        <v>1</v>
      </c>
      <c r="R62" s="101" t="b">
        <f t="shared" si="1"/>
        <v>1</v>
      </c>
      <c r="S62" s="101" t="b">
        <f t="shared" si="2"/>
        <v>1</v>
      </c>
      <c r="T62" s="167">
        <f t="shared" si="3"/>
        <v>153625.79000000004</v>
      </c>
      <c r="U62" s="167">
        <f t="shared" si="4"/>
        <v>582429.56000000006</v>
      </c>
      <c r="V62" s="167">
        <f t="shared" si="5"/>
        <v>594954.94000000006</v>
      </c>
    </row>
    <row r="63" spans="1:22" s="90" customFormat="1" ht="20.100000000000001" customHeight="1">
      <c r="A63" s="347"/>
      <c r="B63" s="182" t="s">
        <v>1120</v>
      </c>
      <c r="C63" s="37" t="s">
        <v>1119</v>
      </c>
      <c r="D63" s="37" t="s">
        <v>90</v>
      </c>
      <c r="E63" s="183">
        <f>E64</f>
        <v>622821.70000000007</v>
      </c>
      <c r="F63" s="183">
        <f t="shared" ref="F63:G63" si="12">F64</f>
        <v>0</v>
      </c>
      <c r="G63" s="183">
        <f t="shared" si="12"/>
        <v>0</v>
      </c>
      <c r="H63" s="183">
        <v>586817.28000000003</v>
      </c>
      <c r="I63" s="183">
        <v>0</v>
      </c>
      <c r="J63" s="183">
        <v>0</v>
      </c>
      <c r="K63" s="182" t="s">
        <v>1120</v>
      </c>
      <c r="L63" s="37" t="s">
        <v>1119</v>
      </c>
      <c r="M63" s="37" t="s">
        <v>90</v>
      </c>
      <c r="N63" s="183">
        <v>586817.28000000003</v>
      </c>
      <c r="O63" s="183">
        <v>0</v>
      </c>
      <c r="P63" s="183">
        <v>0</v>
      </c>
      <c r="Q63" s="101" t="b">
        <f t="shared" si="0"/>
        <v>1</v>
      </c>
      <c r="R63" s="101" t="b">
        <f t="shared" si="1"/>
        <v>1</v>
      </c>
      <c r="S63" s="101" t="b">
        <f t="shared" si="2"/>
        <v>1</v>
      </c>
      <c r="T63" s="167">
        <f t="shared" si="3"/>
        <v>36004.420000000042</v>
      </c>
      <c r="U63" s="167">
        <f t="shared" si="4"/>
        <v>0</v>
      </c>
      <c r="V63" s="167">
        <f t="shared" si="5"/>
        <v>0</v>
      </c>
    </row>
    <row r="64" spans="1:22" s="90" customFormat="1" ht="20.100000000000001" customHeight="1">
      <c r="A64" s="347"/>
      <c r="B64" s="23" t="s">
        <v>132</v>
      </c>
      <c r="C64" s="37" t="s">
        <v>1119</v>
      </c>
      <c r="D64" s="37" t="s">
        <v>171</v>
      </c>
      <c r="E64" s="183">
        <f>'Вед-я стр-ра'!H379</f>
        <v>622821.70000000007</v>
      </c>
      <c r="F64" s="183">
        <f>'Вед-я стр-ра'!I379</f>
        <v>0</v>
      </c>
      <c r="G64" s="183">
        <f>'Вед-я стр-ра'!J379</f>
        <v>0</v>
      </c>
      <c r="H64" s="183">
        <v>586817.28000000003</v>
      </c>
      <c r="I64" s="183">
        <v>0</v>
      </c>
      <c r="J64" s="183">
        <v>0</v>
      </c>
      <c r="K64" s="23" t="s">
        <v>132</v>
      </c>
      <c r="L64" s="37" t="s">
        <v>1119</v>
      </c>
      <c r="M64" s="37" t="s">
        <v>171</v>
      </c>
      <c r="N64" s="183">
        <v>586817.28000000003</v>
      </c>
      <c r="O64" s="183">
        <v>0</v>
      </c>
      <c r="P64" s="183">
        <v>0</v>
      </c>
      <c r="Q64" s="101" t="b">
        <f t="shared" ref="Q64:Q118" si="13">B64=K64</f>
        <v>1</v>
      </c>
      <c r="R64" s="101" t="b">
        <f t="shared" ref="R64:R118" si="14">C64=L64</f>
        <v>1</v>
      </c>
      <c r="S64" s="101" t="b">
        <f t="shared" ref="S64:S118" si="15">D64=M64</f>
        <v>1</v>
      </c>
      <c r="T64" s="167">
        <f t="shared" ref="T64:T118" si="16">E64-N64</f>
        <v>36004.420000000042</v>
      </c>
      <c r="U64" s="167">
        <f t="shared" ref="U64:U118" si="17">F64-O64</f>
        <v>0</v>
      </c>
      <c r="V64" s="167">
        <f t="shared" ref="V64:V118" si="18">G64-P64</f>
        <v>0</v>
      </c>
    </row>
    <row r="65" spans="1:22" s="90" customFormat="1" ht="20.100000000000001" customHeight="1">
      <c r="A65" s="347" t="s">
        <v>799</v>
      </c>
      <c r="B65" s="180" t="s">
        <v>515</v>
      </c>
      <c r="C65" s="238" t="s">
        <v>344</v>
      </c>
      <c r="D65" s="239" t="s">
        <v>90</v>
      </c>
      <c r="E65" s="240">
        <f>E66+E68+E70+E72</f>
        <v>51524.92</v>
      </c>
      <c r="F65" s="240">
        <f>F66+F68+F70+F72</f>
        <v>50927.97</v>
      </c>
      <c r="G65" s="240">
        <f>G66+G68+G70+G72</f>
        <v>52662.89</v>
      </c>
      <c r="H65" s="240">
        <v>49255.43</v>
      </c>
      <c r="I65" s="240">
        <v>50927.97</v>
      </c>
      <c r="J65" s="240">
        <v>52662.879999999997</v>
      </c>
      <c r="K65" s="180" t="s">
        <v>515</v>
      </c>
      <c r="L65" s="238" t="s">
        <v>344</v>
      </c>
      <c r="M65" s="239" t="s">
        <v>90</v>
      </c>
      <c r="N65" s="240">
        <v>49255.43</v>
      </c>
      <c r="O65" s="240">
        <v>50927.97</v>
      </c>
      <c r="P65" s="240">
        <v>52662.879999999997</v>
      </c>
      <c r="Q65" s="101" t="b">
        <f t="shared" si="13"/>
        <v>1</v>
      </c>
      <c r="R65" s="101" t="b">
        <f t="shared" si="14"/>
        <v>1</v>
      </c>
      <c r="S65" s="101" t="b">
        <f t="shared" si="15"/>
        <v>1</v>
      </c>
      <c r="T65" s="167">
        <f t="shared" si="16"/>
        <v>2269.489999999998</v>
      </c>
      <c r="U65" s="167">
        <f t="shared" si="17"/>
        <v>0</v>
      </c>
      <c r="V65" s="167">
        <f t="shared" si="18"/>
        <v>1.0000000002037268E-2</v>
      </c>
    </row>
    <row r="66" spans="1:22" s="90" customFormat="1" ht="20.100000000000001" customHeight="1">
      <c r="A66" s="347"/>
      <c r="B66" s="180" t="s">
        <v>842</v>
      </c>
      <c r="C66" s="238" t="s">
        <v>689</v>
      </c>
      <c r="D66" s="239" t="s">
        <v>90</v>
      </c>
      <c r="E66" s="240">
        <f>E67</f>
        <v>24644.57</v>
      </c>
      <c r="F66" s="240">
        <f>F67</f>
        <v>23270.080000000002</v>
      </c>
      <c r="G66" s="240">
        <f>G67</f>
        <v>23968.199999999997</v>
      </c>
      <c r="H66" s="240">
        <v>22375.08</v>
      </c>
      <c r="I66" s="240">
        <v>23270.080000000002</v>
      </c>
      <c r="J66" s="240">
        <v>23968.19</v>
      </c>
      <c r="K66" s="180" t="s">
        <v>842</v>
      </c>
      <c r="L66" s="238" t="s">
        <v>689</v>
      </c>
      <c r="M66" s="239" t="s">
        <v>90</v>
      </c>
      <c r="N66" s="240">
        <v>22375.08</v>
      </c>
      <c r="O66" s="240">
        <v>23270.080000000002</v>
      </c>
      <c r="P66" s="240">
        <v>23968.19</v>
      </c>
      <c r="Q66" s="101" t="b">
        <f t="shared" si="13"/>
        <v>1</v>
      </c>
      <c r="R66" s="101" t="b">
        <f t="shared" si="14"/>
        <v>1</v>
      </c>
      <c r="S66" s="101" t="b">
        <f t="shared" si="15"/>
        <v>1</v>
      </c>
      <c r="T66" s="167">
        <f t="shared" si="16"/>
        <v>2269.489999999998</v>
      </c>
      <c r="U66" s="167">
        <f t="shared" si="17"/>
        <v>0</v>
      </c>
      <c r="V66" s="167">
        <f t="shared" si="18"/>
        <v>9.9999999983992893E-3</v>
      </c>
    </row>
    <row r="67" spans="1:22" s="90" customFormat="1" ht="20.100000000000001" customHeight="1">
      <c r="A67" s="347"/>
      <c r="B67" s="180" t="s">
        <v>147</v>
      </c>
      <c r="C67" s="238" t="s">
        <v>689</v>
      </c>
      <c r="D67" s="239" t="s">
        <v>154</v>
      </c>
      <c r="E67" s="240">
        <f>'Вед-я стр-ра'!H499</f>
        <v>24644.57</v>
      </c>
      <c r="F67" s="240">
        <f>'Вед-я стр-ра'!I499</f>
        <v>23270.080000000002</v>
      </c>
      <c r="G67" s="240">
        <f>'Вед-я стр-ра'!J499</f>
        <v>23968.199999999997</v>
      </c>
      <c r="H67" s="240">
        <v>22375.08</v>
      </c>
      <c r="I67" s="240">
        <v>23270.080000000002</v>
      </c>
      <c r="J67" s="240">
        <v>23968.19</v>
      </c>
      <c r="K67" s="180" t="s">
        <v>147</v>
      </c>
      <c r="L67" s="238" t="s">
        <v>689</v>
      </c>
      <c r="M67" s="239" t="s">
        <v>154</v>
      </c>
      <c r="N67" s="240">
        <v>22375.08</v>
      </c>
      <c r="O67" s="240">
        <v>23270.080000000002</v>
      </c>
      <c r="P67" s="240">
        <v>23968.19</v>
      </c>
      <c r="Q67" s="101" t="b">
        <f t="shared" si="13"/>
        <v>1</v>
      </c>
      <c r="R67" s="101" t="b">
        <f t="shared" si="14"/>
        <v>1</v>
      </c>
      <c r="S67" s="101" t="b">
        <f t="shared" si="15"/>
        <v>1</v>
      </c>
      <c r="T67" s="167">
        <f t="shared" si="16"/>
        <v>2269.489999999998</v>
      </c>
      <c r="U67" s="167">
        <f t="shared" si="17"/>
        <v>0</v>
      </c>
      <c r="V67" s="167">
        <f t="shared" si="18"/>
        <v>9.9999999983992893E-3</v>
      </c>
    </row>
    <row r="68" spans="1:22" s="90" customFormat="1" ht="20.100000000000001" customHeight="1">
      <c r="A68" s="347"/>
      <c r="B68" s="23" t="s">
        <v>1061</v>
      </c>
      <c r="C68" s="238" t="s">
        <v>690</v>
      </c>
      <c r="D68" s="239" t="s">
        <v>90</v>
      </c>
      <c r="E68" s="240">
        <f>E69</f>
        <v>1921.8</v>
      </c>
      <c r="F68" s="240">
        <f>F69</f>
        <v>1921.8</v>
      </c>
      <c r="G68" s="240">
        <f>G69</f>
        <v>1921.8</v>
      </c>
      <c r="H68" s="240">
        <v>1921.8</v>
      </c>
      <c r="I68" s="240">
        <v>1921.8</v>
      </c>
      <c r="J68" s="240">
        <v>1921.8</v>
      </c>
      <c r="K68" s="23" t="s">
        <v>1061</v>
      </c>
      <c r="L68" s="238" t="s">
        <v>690</v>
      </c>
      <c r="M68" s="239" t="s">
        <v>90</v>
      </c>
      <c r="N68" s="240">
        <v>1921.8</v>
      </c>
      <c r="O68" s="240">
        <v>1921.8</v>
      </c>
      <c r="P68" s="240">
        <v>1921.8</v>
      </c>
      <c r="Q68" s="101" t="b">
        <f t="shared" si="13"/>
        <v>1</v>
      </c>
      <c r="R68" s="101" t="b">
        <f t="shared" si="14"/>
        <v>1</v>
      </c>
      <c r="S68" s="101" t="b">
        <f t="shared" si="15"/>
        <v>1</v>
      </c>
      <c r="T68" s="167">
        <f t="shared" si="16"/>
        <v>0</v>
      </c>
      <c r="U68" s="167">
        <f t="shared" si="17"/>
        <v>0</v>
      </c>
      <c r="V68" s="167">
        <f t="shared" si="18"/>
        <v>0</v>
      </c>
    </row>
    <row r="69" spans="1:22" s="90" customFormat="1" ht="20.100000000000001" customHeight="1">
      <c r="A69" s="347"/>
      <c r="B69" s="180" t="s">
        <v>147</v>
      </c>
      <c r="C69" s="238" t="s">
        <v>690</v>
      </c>
      <c r="D69" s="239" t="s">
        <v>154</v>
      </c>
      <c r="E69" s="240">
        <f>'Вед-я стр-ра'!H501</f>
        <v>1921.8</v>
      </c>
      <c r="F69" s="240">
        <f>'Вед-я стр-ра'!I501</f>
        <v>1921.8</v>
      </c>
      <c r="G69" s="240">
        <f>'Вед-я стр-ра'!J501</f>
        <v>1921.8</v>
      </c>
      <c r="H69" s="240">
        <v>1921.8</v>
      </c>
      <c r="I69" s="240">
        <v>1921.8</v>
      </c>
      <c r="J69" s="240">
        <v>1921.8</v>
      </c>
      <c r="K69" s="180" t="s">
        <v>147</v>
      </c>
      <c r="L69" s="238" t="s">
        <v>690</v>
      </c>
      <c r="M69" s="239" t="s">
        <v>154</v>
      </c>
      <c r="N69" s="240">
        <v>1921.8</v>
      </c>
      <c r="O69" s="240">
        <v>1921.8</v>
      </c>
      <c r="P69" s="240">
        <v>1921.8</v>
      </c>
      <c r="Q69" s="101" t="b">
        <f t="shared" si="13"/>
        <v>1</v>
      </c>
      <c r="R69" s="101" t="b">
        <f t="shared" si="14"/>
        <v>1</v>
      </c>
      <c r="S69" s="101" t="b">
        <f t="shared" si="15"/>
        <v>1</v>
      </c>
      <c r="T69" s="167">
        <f t="shared" si="16"/>
        <v>0</v>
      </c>
      <c r="U69" s="167">
        <f t="shared" si="17"/>
        <v>0</v>
      </c>
      <c r="V69" s="167">
        <f t="shared" si="18"/>
        <v>0</v>
      </c>
    </row>
    <row r="70" spans="1:22" s="90" customFormat="1" ht="20.100000000000001" customHeight="1">
      <c r="A70" s="347"/>
      <c r="B70" s="23" t="s">
        <v>843</v>
      </c>
      <c r="C70" s="238" t="s">
        <v>691</v>
      </c>
      <c r="D70" s="239" t="s">
        <v>90</v>
      </c>
      <c r="E70" s="240">
        <f>E71</f>
        <v>22108.55</v>
      </c>
      <c r="F70" s="240">
        <f>F71</f>
        <v>22886.09</v>
      </c>
      <c r="G70" s="240">
        <f>G71</f>
        <v>23922.89</v>
      </c>
      <c r="H70" s="240">
        <v>22108.55</v>
      </c>
      <c r="I70" s="240">
        <v>22886.09</v>
      </c>
      <c r="J70" s="240">
        <v>23922.89</v>
      </c>
      <c r="K70" s="23" t="s">
        <v>843</v>
      </c>
      <c r="L70" s="238" t="s">
        <v>691</v>
      </c>
      <c r="M70" s="239" t="s">
        <v>90</v>
      </c>
      <c r="N70" s="240">
        <v>22108.55</v>
      </c>
      <c r="O70" s="240">
        <v>22886.09</v>
      </c>
      <c r="P70" s="240">
        <v>23922.89</v>
      </c>
      <c r="Q70" s="101" t="b">
        <f t="shared" si="13"/>
        <v>1</v>
      </c>
      <c r="R70" s="101" t="b">
        <f t="shared" si="14"/>
        <v>1</v>
      </c>
      <c r="S70" s="101" t="b">
        <f t="shared" si="15"/>
        <v>1</v>
      </c>
      <c r="T70" s="167">
        <f t="shared" si="16"/>
        <v>0</v>
      </c>
      <c r="U70" s="167">
        <f t="shared" si="17"/>
        <v>0</v>
      </c>
      <c r="V70" s="167">
        <f t="shared" si="18"/>
        <v>0</v>
      </c>
    </row>
    <row r="71" spans="1:22" s="90" customFormat="1" ht="20.100000000000001" customHeight="1">
      <c r="A71" s="347"/>
      <c r="B71" s="180" t="s">
        <v>147</v>
      </c>
      <c r="C71" s="238" t="s">
        <v>691</v>
      </c>
      <c r="D71" s="239" t="s">
        <v>154</v>
      </c>
      <c r="E71" s="240">
        <f>'Вед-я стр-ра'!H503</f>
        <v>22108.55</v>
      </c>
      <c r="F71" s="240">
        <f>'Вед-я стр-ра'!I503</f>
        <v>22886.09</v>
      </c>
      <c r="G71" s="240">
        <f>'Вед-я стр-ра'!J503</f>
        <v>23922.89</v>
      </c>
      <c r="H71" s="240">
        <v>22108.55</v>
      </c>
      <c r="I71" s="240">
        <v>22886.09</v>
      </c>
      <c r="J71" s="240">
        <v>23922.89</v>
      </c>
      <c r="K71" s="180" t="s">
        <v>147</v>
      </c>
      <c r="L71" s="238" t="s">
        <v>691</v>
      </c>
      <c r="M71" s="239" t="s">
        <v>154</v>
      </c>
      <c r="N71" s="240">
        <v>22108.55</v>
      </c>
      <c r="O71" s="240">
        <v>22886.09</v>
      </c>
      <c r="P71" s="240">
        <v>23922.89</v>
      </c>
      <c r="Q71" s="101" t="b">
        <f t="shared" si="13"/>
        <v>1</v>
      </c>
      <c r="R71" s="101" t="b">
        <f t="shared" si="14"/>
        <v>1</v>
      </c>
      <c r="S71" s="101" t="b">
        <f t="shared" si="15"/>
        <v>1</v>
      </c>
      <c r="T71" s="167">
        <f t="shared" si="16"/>
        <v>0</v>
      </c>
      <c r="U71" s="167">
        <f t="shared" si="17"/>
        <v>0</v>
      </c>
      <c r="V71" s="167">
        <f t="shared" si="18"/>
        <v>0</v>
      </c>
    </row>
    <row r="72" spans="1:22" s="90" customFormat="1" ht="20.100000000000001" customHeight="1">
      <c r="A72" s="347"/>
      <c r="B72" s="23" t="s">
        <v>844</v>
      </c>
      <c r="C72" s="238" t="s">
        <v>692</v>
      </c>
      <c r="D72" s="239" t="s">
        <v>90</v>
      </c>
      <c r="E72" s="240">
        <f>E73</f>
        <v>2850</v>
      </c>
      <c r="F72" s="240">
        <f>F73</f>
        <v>2850</v>
      </c>
      <c r="G72" s="240">
        <f>G73</f>
        <v>2850</v>
      </c>
      <c r="H72" s="240">
        <v>2850</v>
      </c>
      <c r="I72" s="240">
        <v>2850</v>
      </c>
      <c r="J72" s="240">
        <v>2850</v>
      </c>
      <c r="K72" s="23" t="s">
        <v>844</v>
      </c>
      <c r="L72" s="238" t="s">
        <v>692</v>
      </c>
      <c r="M72" s="239" t="s">
        <v>90</v>
      </c>
      <c r="N72" s="240">
        <v>2850</v>
      </c>
      <c r="O72" s="240">
        <v>2850</v>
      </c>
      <c r="P72" s="240">
        <v>2850</v>
      </c>
      <c r="Q72" s="101" t="b">
        <f t="shared" si="13"/>
        <v>1</v>
      </c>
      <c r="R72" s="101" t="b">
        <f t="shared" si="14"/>
        <v>1</v>
      </c>
      <c r="S72" s="101" t="b">
        <f t="shared" si="15"/>
        <v>1</v>
      </c>
      <c r="T72" s="167">
        <f t="shared" si="16"/>
        <v>0</v>
      </c>
      <c r="U72" s="167">
        <f t="shared" si="17"/>
        <v>0</v>
      </c>
      <c r="V72" s="167">
        <f t="shared" si="18"/>
        <v>0</v>
      </c>
    </row>
    <row r="73" spans="1:22" s="90" customFormat="1" ht="20.100000000000001" customHeight="1">
      <c r="A73" s="347"/>
      <c r="B73" s="178" t="s">
        <v>147</v>
      </c>
      <c r="C73" s="238" t="s">
        <v>692</v>
      </c>
      <c r="D73" s="239" t="s">
        <v>154</v>
      </c>
      <c r="E73" s="240">
        <f>'Вед-я стр-ра'!H505</f>
        <v>2850</v>
      </c>
      <c r="F73" s="240">
        <f>'Вед-я стр-ра'!I505</f>
        <v>2850</v>
      </c>
      <c r="G73" s="240">
        <f>'Вед-я стр-ра'!J505</f>
        <v>2850</v>
      </c>
      <c r="H73" s="240">
        <v>2850</v>
      </c>
      <c r="I73" s="240">
        <v>2850</v>
      </c>
      <c r="J73" s="240">
        <v>2850</v>
      </c>
      <c r="K73" s="178" t="s">
        <v>147</v>
      </c>
      <c r="L73" s="238" t="s">
        <v>692</v>
      </c>
      <c r="M73" s="239" t="s">
        <v>154</v>
      </c>
      <c r="N73" s="240">
        <v>2850</v>
      </c>
      <c r="O73" s="240">
        <v>2850</v>
      </c>
      <c r="P73" s="240">
        <v>2850</v>
      </c>
      <c r="Q73" s="101" t="b">
        <f t="shared" si="13"/>
        <v>1</v>
      </c>
      <c r="R73" s="101" t="b">
        <f t="shared" si="14"/>
        <v>1</v>
      </c>
      <c r="S73" s="101" t="b">
        <f t="shared" si="15"/>
        <v>1</v>
      </c>
      <c r="T73" s="167">
        <f t="shared" si="16"/>
        <v>0</v>
      </c>
      <c r="U73" s="167">
        <f t="shared" si="17"/>
        <v>0</v>
      </c>
      <c r="V73" s="167">
        <f t="shared" si="18"/>
        <v>0</v>
      </c>
    </row>
    <row r="74" spans="1:22" s="90" customFormat="1" ht="20.100000000000001" customHeight="1">
      <c r="A74" s="347"/>
      <c r="B74" s="178" t="s">
        <v>578</v>
      </c>
      <c r="C74" s="238" t="s">
        <v>571</v>
      </c>
      <c r="D74" s="239" t="s">
        <v>90</v>
      </c>
      <c r="E74" s="240">
        <f>E75+E77</f>
        <v>13100.31</v>
      </c>
      <c r="F74" s="240">
        <f t="shared" ref="F74:G74" si="19">F75+F77</f>
        <v>13100.31</v>
      </c>
      <c r="G74" s="240">
        <f t="shared" si="19"/>
        <v>13510.31</v>
      </c>
      <c r="H74" s="240">
        <v>13100.31</v>
      </c>
      <c r="I74" s="240">
        <v>13100.31</v>
      </c>
      <c r="J74" s="240">
        <v>13510.31</v>
      </c>
      <c r="K74" s="178" t="s">
        <v>578</v>
      </c>
      <c r="L74" s="238" t="s">
        <v>571</v>
      </c>
      <c r="M74" s="239" t="s">
        <v>90</v>
      </c>
      <c r="N74" s="240">
        <v>13055.18</v>
      </c>
      <c r="O74" s="240">
        <v>13055.18</v>
      </c>
      <c r="P74" s="240">
        <v>13465.18</v>
      </c>
      <c r="Q74" s="101" t="b">
        <f t="shared" si="13"/>
        <v>1</v>
      </c>
      <c r="R74" s="101" t="b">
        <f t="shared" si="14"/>
        <v>1</v>
      </c>
      <c r="S74" s="101" t="b">
        <f t="shared" si="15"/>
        <v>1</v>
      </c>
      <c r="T74" s="167">
        <f t="shared" si="16"/>
        <v>45.1299999999992</v>
      </c>
      <c r="U74" s="167">
        <f t="shared" si="17"/>
        <v>45.1299999999992</v>
      </c>
      <c r="V74" s="167">
        <f t="shared" si="18"/>
        <v>45.1299999999992</v>
      </c>
    </row>
    <row r="75" spans="1:22" s="90" customFormat="1" ht="20.100000000000001" customHeight="1">
      <c r="A75" s="347"/>
      <c r="B75" s="178" t="s">
        <v>254</v>
      </c>
      <c r="C75" s="238" t="s">
        <v>572</v>
      </c>
      <c r="D75" s="239" t="s">
        <v>90</v>
      </c>
      <c r="E75" s="240">
        <f>SUM(E76:E76)</f>
        <v>13100.31</v>
      </c>
      <c r="F75" s="240">
        <f>SUM(F76:F76)</f>
        <v>13100.31</v>
      </c>
      <c r="G75" s="240">
        <f>SUM(G76:G76)</f>
        <v>13100.31</v>
      </c>
      <c r="H75" s="240">
        <v>13100.31</v>
      </c>
      <c r="I75" s="240">
        <v>13100.31</v>
      </c>
      <c r="J75" s="240">
        <v>13100.31</v>
      </c>
      <c r="K75" s="178" t="s">
        <v>254</v>
      </c>
      <c r="L75" s="238" t="s">
        <v>572</v>
      </c>
      <c r="M75" s="239" t="s">
        <v>90</v>
      </c>
      <c r="N75" s="240">
        <v>13055.18</v>
      </c>
      <c r="O75" s="240">
        <v>13055.18</v>
      </c>
      <c r="P75" s="240">
        <v>13055.18</v>
      </c>
      <c r="Q75" s="101" t="b">
        <f t="shared" si="13"/>
        <v>1</v>
      </c>
      <c r="R75" s="101" t="b">
        <f t="shared" si="14"/>
        <v>1</v>
      </c>
      <c r="S75" s="101" t="b">
        <f t="shared" si="15"/>
        <v>1</v>
      </c>
      <c r="T75" s="167">
        <f t="shared" si="16"/>
        <v>45.1299999999992</v>
      </c>
      <c r="U75" s="167">
        <f t="shared" si="17"/>
        <v>45.1299999999992</v>
      </c>
      <c r="V75" s="167">
        <f t="shared" si="18"/>
        <v>45.1299999999992</v>
      </c>
    </row>
    <row r="76" spans="1:22" s="90" customFormat="1" ht="20.100000000000001" customHeight="1">
      <c r="A76" s="347"/>
      <c r="B76" s="178" t="s">
        <v>132</v>
      </c>
      <c r="C76" s="238" t="s">
        <v>572</v>
      </c>
      <c r="D76" s="239" t="s">
        <v>171</v>
      </c>
      <c r="E76" s="240">
        <f>'Вед-я стр-ра'!H467</f>
        <v>13100.31</v>
      </c>
      <c r="F76" s="240">
        <f>'Вед-я стр-ра'!I467</f>
        <v>13100.31</v>
      </c>
      <c r="G76" s="240">
        <f>'Вед-я стр-ра'!J467</f>
        <v>13100.31</v>
      </c>
      <c r="H76" s="240">
        <v>13100.31</v>
      </c>
      <c r="I76" s="240">
        <v>13100.31</v>
      </c>
      <c r="J76" s="240">
        <v>13100.31</v>
      </c>
      <c r="K76" s="178" t="s">
        <v>132</v>
      </c>
      <c r="L76" s="238" t="s">
        <v>572</v>
      </c>
      <c r="M76" s="239" t="s">
        <v>171</v>
      </c>
      <c r="N76" s="240">
        <v>13055.18</v>
      </c>
      <c r="O76" s="240">
        <v>13055.18</v>
      </c>
      <c r="P76" s="240">
        <v>13055.18</v>
      </c>
      <c r="Q76" s="101" t="b">
        <f t="shared" si="13"/>
        <v>1</v>
      </c>
      <c r="R76" s="101" t="b">
        <f t="shared" si="14"/>
        <v>1</v>
      </c>
      <c r="S76" s="101" t="b">
        <f t="shared" si="15"/>
        <v>1</v>
      </c>
      <c r="T76" s="167">
        <f t="shared" si="16"/>
        <v>45.1299999999992</v>
      </c>
      <c r="U76" s="167">
        <f t="shared" si="17"/>
        <v>45.1299999999992</v>
      </c>
      <c r="V76" s="167">
        <f t="shared" si="18"/>
        <v>45.1299999999992</v>
      </c>
    </row>
    <row r="77" spans="1:22" s="90" customFormat="1" ht="20.100000000000001" customHeight="1">
      <c r="A77" s="347"/>
      <c r="B77" s="23" t="s">
        <v>1121</v>
      </c>
      <c r="C77" s="37" t="s">
        <v>1122</v>
      </c>
      <c r="D77" s="37" t="s">
        <v>90</v>
      </c>
      <c r="E77" s="240">
        <f t="shared" ref="E77:F77" si="20">E78</f>
        <v>0</v>
      </c>
      <c r="F77" s="240">
        <f t="shared" si="20"/>
        <v>0</v>
      </c>
      <c r="G77" s="240">
        <f>G78</f>
        <v>410</v>
      </c>
      <c r="H77" s="240">
        <v>0</v>
      </c>
      <c r="I77" s="240">
        <v>0</v>
      </c>
      <c r="J77" s="240">
        <v>410</v>
      </c>
      <c r="K77" s="23" t="s">
        <v>1121</v>
      </c>
      <c r="L77" s="37" t="s">
        <v>1122</v>
      </c>
      <c r="M77" s="37" t="s">
        <v>90</v>
      </c>
      <c r="N77" s="240">
        <v>0</v>
      </c>
      <c r="O77" s="240">
        <v>0</v>
      </c>
      <c r="P77" s="240">
        <v>410</v>
      </c>
      <c r="Q77" s="101" t="b">
        <f t="shared" si="13"/>
        <v>1</v>
      </c>
      <c r="R77" s="101" t="b">
        <f t="shared" si="14"/>
        <v>1</v>
      </c>
      <c r="S77" s="101" t="b">
        <f t="shared" si="15"/>
        <v>1</v>
      </c>
      <c r="T77" s="167">
        <f t="shared" si="16"/>
        <v>0</v>
      </c>
      <c r="U77" s="167">
        <f t="shared" si="17"/>
        <v>0</v>
      </c>
      <c r="V77" s="167">
        <f t="shared" si="18"/>
        <v>0</v>
      </c>
    </row>
    <row r="78" spans="1:22" s="90" customFormat="1" ht="20.100000000000001" customHeight="1">
      <c r="A78" s="347"/>
      <c r="B78" s="23" t="s">
        <v>145</v>
      </c>
      <c r="C78" s="37" t="s">
        <v>1122</v>
      </c>
      <c r="D78" s="37" t="s">
        <v>153</v>
      </c>
      <c r="E78" s="240">
        <f>'Вед-я стр-ра'!H469</f>
        <v>0</v>
      </c>
      <c r="F78" s="240">
        <f>'Вед-я стр-ра'!I469</f>
        <v>0</v>
      </c>
      <c r="G78" s="240">
        <f>'Вед-я стр-ра'!J469</f>
        <v>410</v>
      </c>
      <c r="H78" s="240">
        <v>0</v>
      </c>
      <c r="I78" s="240">
        <v>0</v>
      </c>
      <c r="J78" s="240">
        <v>410</v>
      </c>
      <c r="K78" s="23" t="s">
        <v>145</v>
      </c>
      <c r="L78" s="37" t="s">
        <v>1122</v>
      </c>
      <c r="M78" s="37" t="s">
        <v>153</v>
      </c>
      <c r="N78" s="240">
        <v>0</v>
      </c>
      <c r="O78" s="240">
        <v>0</v>
      </c>
      <c r="P78" s="240">
        <v>410</v>
      </c>
      <c r="Q78" s="101" t="b">
        <f t="shared" si="13"/>
        <v>1</v>
      </c>
      <c r="R78" s="101" t="b">
        <f t="shared" si="14"/>
        <v>1</v>
      </c>
      <c r="S78" s="101" t="b">
        <f t="shared" si="15"/>
        <v>1</v>
      </c>
      <c r="T78" s="167">
        <f t="shared" si="16"/>
        <v>0</v>
      </c>
      <c r="U78" s="167">
        <f t="shared" si="17"/>
        <v>0</v>
      </c>
      <c r="V78" s="167">
        <f t="shared" si="18"/>
        <v>0</v>
      </c>
    </row>
    <row r="79" spans="1:22" s="90" customFormat="1" ht="20.100000000000001" customHeight="1">
      <c r="A79" s="347"/>
      <c r="B79" s="535" t="s">
        <v>1278</v>
      </c>
      <c r="C79" s="537" t="s">
        <v>1275</v>
      </c>
      <c r="D79" s="537" t="s">
        <v>90</v>
      </c>
      <c r="E79" s="183">
        <f>E80</f>
        <v>0</v>
      </c>
      <c r="F79" s="183">
        <f t="shared" ref="F79:G80" si="21">F80</f>
        <v>22231.89</v>
      </c>
      <c r="G79" s="183">
        <f t="shared" si="21"/>
        <v>0</v>
      </c>
      <c r="H79" s="240"/>
      <c r="I79" s="240"/>
      <c r="J79" s="240"/>
      <c r="K79" s="23"/>
      <c r="L79" s="37"/>
      <c r="M79" s="37"/>
      <c r="N79" s="240"/>
      <c r="O79" s="240"/>
      <c r="P79" s="240"/>
      <c r="Q79" s="101"/>
      <c r="R79" s="101"/>
      <c r="S79" s="101"/>
      <c r="T79" s="167"/>
      <c r="U79" s="167"/>
      <c r="V79" s="167"/>
    </row>
    <row r="80" spans="1:22" s="90" customFormat="1" ht="20.100000000000001" customHeight="1">
      <c r="A80" s="347"/>
      <c r="B80" s="23" t="s">
        <v>1277</v>
      </c>
      <c r="C80" s="37" t="s">
        <v>1276</v>
      </c>
      <c r="D80" s="37" t="s">
        <v>90</v>
      </c>
      <c r="E80" s="183">
        <f>E81</f>
        <v>0</v>
      </c>
      <c r="F80" s="183">
        <f t="shared" si="21"/>
        <v>22231.89</v>
      </c>
      <c r="G80" s="183">
        <f t="shared" si="21"/>
        <v>0</v>
      </c>
      <c r="H80" s="240"/>
      <c r="I80" s="240"/>
      <c r="J80" s="240"/>
      <c r="K80" s="23"/>
      <c r="L80" s="37"/>
      <c r="M80" s="37"/>
      <c r="N80" s="240"/>
      <c r="O80" s="240"/>
      <c r="P80" s="240"/>
      <c r="Q80" s="101"/>
      <c r="R80" s="101"/>
      <c r="S80" s="101"/>
      <c r="T80" s="167"/>
      <c r="U80" s="167"/>
      <c r="V80" s="167"/>
    </row>
    <row r="81" spans="1:22" s="90" customFormat="1" ht="20.100000000000001" customHeight="1">
      <c r="A81" s="347"/>
      <c r="B81" s="65" t="s">
        <v>132</v>
      </c>
      <c r="C81" s="37" t="s">
        <v>1276</v>
      </c>
      <c r="D81" s="37" t="s">
        <v>171</v>
      </c>
      <c r="E81" s="183">
        <f>'Вед-я стр-ра'!H382</f>
        <v>0</v>
      </c>
      <c r="F81" s="183">
        <f>'Вед-я стр-ра'!I382</f>
        <v>22231.89</v>
      </c>
      <c r="G81" s="183">
        <f>'Вед-я стр-ра'!J382</f>
        <v>0</v>
      </c>
      <c r="H81" s="240"/>
      <c r="I81" s="240"/>
      <c r="J81" s="240"/>
      <c r="K81" s="23"/>
      <c r="L81" s="37"/>
      <c r="M81" s="37"/>
      <c r="N81" s="240"/>
      <c r="O81" s="240"/>
      <c r="P81" s="240"/>
      <c r="Q81" s="101"/>
      <c r="R81" s="101"/>
      <c r="S81" s="101"/>
      <c r="T81" s="167"/>
      <c r="U81" s="167"/>
      <c r="V81" s="167"/>
    </row>
    <row r="82" spans="1:22" s="90" customFormat="1" ht="20.100000000000001" customHeight="1">
      <c r="A82" s="347"/>
      <c r="B82" s="535" t="s">
        <v>1272</v>
      </c>
      <c r="C82" s="537" t="s">
        <v>1271</v>
      </c>
      <c r="D82" s="537" t="s">
        <v>90</v>
      </c>
      <c r="E82" s="183">
        <f>E83</f>
        <v>9337.14</v>
      </c>
      <c r="F82" s="183">
        <f t="shared" ref="F82:G82" si="22">F83</f>
        <v>9337.14</v>
      </c>
      <c r="G82" s="183">
        <f t="shared" si="22"/>
        <v>9337.14</v>
      </c>
      <c r="H82" s="240"/>
      <c r="I82" s="240"/>
      <c r="J82" s="240"/>
      <c r="K82" s="23"/>
      <c r="L82" s="37"/>
      <c r="M82" s="37"/>
      <c r="N82" s="240"/>
      <c r="O82" s="240"/>
      <c r="P82" s="240"/>
      <c r="Q82" s="101"/>
      <c r="R82" s="101"/>
      <c r="S82" s="101"/>
      <c r="T82" s="167"/>
      <c r="U82" s="167"/>
      <c r="V82" s="167"/>
    </row>
    <row r="83" spans="1:22" s="90" customFormat="1" ht="20.100000000000001" customHeight="1">
      <c r="A83" s="347"/>
      <c r="B83" s="23" t="s">
        <v>1273</v>
      </c>
      <c r="C83" s="37" t="s">
        <v>1274</v>
      </c>
      <c r="D83" s="37" t="s">
        <v>90</v>
      </c>
      <c r="E83" s="183">
        <f>E84+E85</f>
        <v>9337.14</v>
      </c>
      <c r="F83" s="183">
        <f t="shared" ref="F83:G83" si="23">F84+F85</f>
        <v>9337.14</v>
      </c>
      <c r="G83" s="183">
        <f t="shared" si="23"/>
        <v>9337.14</v>
      </c>
      <c r="H83" s="240"/>
      <c r="I83" s="240"/>
      <c r="J83" s="240"/>
      <c r="K83" s="23"/>
      <c r="L83" s="37"/>
      <c r="M83" s="37"/>
      <c r="N83" s="240"/>
      <c r="O83" s="240"/>
      <c r="P83" s="240"/>
      <c r="Q83" s="101"/>
      <c r="R83" s="101"/>
      <c r="S83" s="101"/>
      <c r="T83" s="167"/>
      <c r="U83" s="167"/>
      <c r="V83" s="167"/>
    </row>
    <row r="84" spans="1:22" s="90" customFormat="1" ht="20.100000000000001" customHeight="1">
      <c r="A84" s="347"/>
      <c r="B84" s="65" t="s">
        <v>132</v>
      </c>
      <c r="C84" s="37" t="s">
        <v>1274</v>
      </c>
      <c r="D84" s="37" t="s">
        <v>171</v>
      </c>
      <c r="E84" s="183">
        <f>'Вед-я стр-ра'!H385</f>
        <v>8577.14</v>
      </c>
      <c r="F84" s="183">
        <f>'Вед-я стр-ра'!I385</f>
        <v>8577.14</v>
      </c>
      <c r="G84" s="183">
        <f>'Вед-я стр-ра'!J385</f>
        <v>8577.14</v>
      </c>
      <c r="H84" s="240"/>
      <c r="I84" s="240"/>
      <c r="J84" s="240"/>
      <c r="K84" s="23"/>
      <c r="L84" s="37"/>
      <c r="M84" s="37"/>
      <c r="N84" s="240"/>
      <c r="O84" s="240"/>
      <c r="P84" s="240"/>
      <c r="Q84" s="101"/>
      <c r="R84" s="101"/>
      <c r="S84" s="101"/>
      <c r="T84" s="167"/>
      <c r="U84" s="167"/>
      <c r="V84" s="167"/>
    </row>
    <row r="85" spans="1:22" s="90" customFormat="1" ht="20.100000000000001" customHeight="1">
      <c r="A85" s="347"/>
      <c r="B85" s="23" t="s">
        <v>133</v>
      </c>
      <c r="C85" s="37" t="s">
        <v>1274</v>
      </c>
      <c r="D85" s="37" t="s">
        <v>19</v>
      </c>
      <c r="E85" s="183">
        <f>'Вед-я стр-ра'!H386</f>
        <v>760</v>
      </c>
      <c r="F85" s="183">
        <f>'Вед-я стр-ра'!I386</f>
        <v>760</v>
      </c>
      <c r="G85" s="183">
        <f>'Вед-я стр-ра'!J386</f>
        <v>760</v>
      </c>
      <c r="H85" s="240"/>
      <c r="I85" s="240"/>
      <c r="J85" s="240"/>
      <c r="K85" s="23"/>
      <c r="L85" s="37"/>
      <c r="M85" s="37"/>
      <c r="N85" s="240"/>
      <c r="O85" s="240"/>
      <c r="P85" s="240"/>
      <c r="Q85" s="101"/>
      <c r="R85" s="101"/>
      <c r="S85" s="101"/>
      <c r="T85" s="167"/>
      <c r="U85" s="167"/>
      <c r="V85" s="167"/>
    </row>
    <row r="86" spans="1:22" s="102" customFormat="1" ht="20.100000000000001" customHeight="1">
      <c r="A86" s="222"/>
      <c r="B86" s="241" t="s">
        <v>648</v>
      </c>
      <c r="C86" s="236" t="s">
        <v>493</v>
      </c>
      <c r="D86" s="236" t="s">
        <v>90</v>
      </c>
      <c r="E86" s="237">
        <f>E87</f>
        <v>656185.75</v>
      </c>
      <c r="F86" s="237">
        <f>F87</f>
        <v>2085150.08</v>
      </c>
      <c r="G86" s="237">
        <f>G87</f>
        <v>0</v>
      </c>
      <c r="H86" s="237">
        <v>656185.75</v>
      </c>
      <c r="I86" s="237">
        <v>2085150.08</v>
      </c>
      <c r="J86" s="237">
        <v>0</v>
      </c>
      <c r="K86" s="241" t="s">
        <v>648</v>
      </c>
      <c r="L86" s="236" t="s">
        <v>493</v>
      </c>
      <c r="M86" s="236" t="s">
        <v>90</v>
      </c>
      <c r="N86" s="237">
        <v>656185.75</v>
      </c>
      <c r="O86" s="237">
        <v>2085150.08</v>
      </c>
      <c r="P86" s="237">
        <v>0</v>
      </c>
      <c r="Q86" s="101" t="b">
        <f t="shared" si="13"/>
        <v>1</v>
      </c>
      <c r="R86" s="101" t="b">
        <f t="shared" si="14"/>
        <v>1</v>
      </c>
      <c r="S86" s="101" t="b">
        <f t="shared" si="15"/>
        <v>1</v>
      </c>
      <c r="T86" s="167">
        <f t="shared" si="16"/>
        <v>0</v>
      </c>
      <c r="U86" s="167">
        <f t="shared" si="17"/>
        <v>0</v>
      </c>
      <c r="V86" s="167">
        <f t="shared" si="18"/>
        <v>0</v>
      </c>
    </row>
    <row r="87" spans="1:22" s="97" customFormat="1" ht="20.100000000000001" customHeight="1">
      <c r="A87" s="222"/>
      <c r="B87" s="178" t="s">
        <v>552</v>
      </c>
      <c r="C87" s="239" t="s">
        <v>494</v>
      </c>
      <c r="D87" s="239" t="s">
        <v>90</v>
      </c>
      <c r="E87" s="240">
        <f>E91+E97+E88</f>
        <v>656185.75</v>
      </c>
      <c r="F87" s="240">
        <f>F91+F97+F88</f>
        <v>2085150.08</v>
      </c>
      <c r="G87" s="240">
        <f>G91+G97+G88</f>
        <v>0</v>
      </c>
      <c r="H87" s="240">
        <v>656185.75</v>
      </c>
      <c r="I87" s="240">
        <v>2085150.08</v>
      </c>
      <c r="J87" s="240">
        <v>0</v>
      </c>
      <c r="K87" s="178" t="s">
        <v>552</v>
      </c>
      <c r="L87" s="239" t="s">
        <v>494</v>
      </c>
      <c r="M87" s="239" t="s">
        <v>90</v>
      </c>
      <c r="N87" s="240">
        <v>656185.75</v>
      </c>
      <c r="O87" s="240">
        <v>2085150.08</v>
      </c>
      <c r="P87" s="240">
        <v>0</v>
      </c>
      <c r="Q87" s="101" t="b">
        <f t="shared" si="13"/>
        <v>1</v>
      </c>
      <c r="R87" s="101" t="b">
        <f t="shared" si="14"/>
        <v>1</v>
      </c>
      <c r="S87" s="101" t="b">
        <f t="shared" si="15"/>
        <v>1</v>
      </c>
      <c r="T87" s="167">
        <f t="shared" si="16"/>
        <v>0</v>
      </c>
      <c r="U87" s="167">
        <f t="shared" si="17"/>
        <v>0</v>
      </c>
      <c r="V87" s="167">
        <f t="shared" si="18"/>
        <v>0</v>
      </c>
    </row>
    <row r="88" spans="1:22" s="97" customFormat="1" ht="38.25" customHeight="1">
      <c r="A88" s="222"/>
      <c r="B88" s="182" t="s">
        <v>184</v>
      </c>
      <c r="C88" s="37" t="s">
        <v>495</v>
      </c>
      <c r="D88" s="37" t="s">
        <v>90</v>
      </c>
      <c r="E88" s="240">
        <f>E89</f>
        <v>8000</v>
      </c>
      <c r="F88" s="240">
        <f>F89</f>
        <v>0</v>
      </c>
      <c r="G88" s="240">
        <f>G89</f>
        <v>0</v>
      </c>
      <c r="H88" s="240">
        <v>8000</v>
      </c>
      <c r="I88" s="240">
        <v>0</v>
      </c>
      <c r="J88" s="240">
        <v>0</v>
      </c>
      <c r="K88" s="182" t="s">
        <v>184</v>
      </c>
      <c r="L88" s="37" t="s">
        <v>495</v>
      </c>
      <c r="M88" s="37" t="s">
        <v>90</v>
      </c>
      <c r="N88" s="240">
        <v>8000</v>
      </c>
      <c r="O88" s="240">
        <v>0</v>
      </c>
      <c r="P88" s="240">
        <v>0</v>
      </c>
      <c r="Q88" s="101" t="b">
        <f t="shared" si="13"/>
        <v>1</v>
      </c>
      <c r="R88" s="101" t="b">
        <f t="shared" si="14"/>
        <v>1</v>
      </c>
      <c r="S88" s="101" t="b">
        <f t="shared" si="15"/>
        <v>1</v>
      </c>
      <c r="T88" s="167">
        <f t="shared" si="16"/>
        <v>0</v>
      </c>
      <c r="U88" s="167">
        <f t="shared" si="17"/>
        <v>0</v>
      </c>
      <c r="V88" s="167">
        <f t="shared" si="18"/>
        <v>0</v>
      </c>
    </row>
    <row r="89" spans="1:22" s="97" customFormat="1" ht="20.100000000000001" customHeight="1">
      <c r="A89" s="222"/>
      <c r="B89" s="114" t="s">
        <v>20</v>
      </c>
      <c r="C89" s="112" t="s">
        <v>495</v>
      </c>
      <c r="D89" s="112" t="s">
        <v>141</v>
      </c>
      <c r="E89" s="113">
        <f>'Вед-я стр-ра'!H1296</f>
        <v>8000</v>
      </c>
      <c r="F89" s="113">
        <f>'Вед-я стр-ра'!I1296</f>
        <v>0</v>
      </c>
      <c r="G89" s="113">
        <f>'Вед-я стр-ра'!J1296</f>
        <v>0</v>
      </c>
      <c r="H89" s="113">
        <v>8000</v>
      </c>
      <c r="I89" s="113">
        <v>0</v>
      </c>
      <c r="J89" s="113">
        <v>0</v>
      </c>
      <c r="K89" s="114" t="s">
        <v>20</v>
      </c>
      <c r="L89" s="112" t="s">
        <v>495</v>
      </c>
      <c r="M89" s="112" t="s">
        <v>141</v>
      </c>
      <c r="N89" s="113">
        <v>8000</v>
      </c>
      <c r="O89" s="113">
        <v>0</v>
      </c>
      <c r="P89" s="113">
        <v>0</v>
      </c>
      <c r="Q89" s="101" t="b">
        <f t="shared" si="13"/>
        <v>1</v>
      </c>
      <c r="R89" s="101" t="b">
        <f t="shared" si="14"/>
        <v>1</v>
      </c>
      <c r="S89" s="101" t="b">
        <f t="shared" si="15"/>
        <v>1</v>
      </c>
      <c r="T89" s="167">
        <f t="shared" si="16"/>
        <v>0</v>
      </c>
      <c r="U89" s="167">
        <f t="shared" si="17"/>
        <v>0</v>
      </c>
      <c r="V89" s="167">
        <f t="shared" si="18"/>
        <v>0</v>
      </c>
    </row>
    <row r="90" spans="1:22" s="97" customFormat="1" ht="20.100000000000001" customHeight="1">
      <c r="A90" s="222"/>
      <c r="B90" s="496" t="s">
        <v>1264</v>
      </c>
      <c r="C90" s="517" t="s">
        <v>1258</v>
      </c>
      <c r="D90" s="517" t="s">
        <v>90</v>
      </c>
      <c r="E90" s="518">
        <f>E91</f>
        <v>267840.38</v>
      </c>
      <c r="F90" s="518">
        <f t="shared" ref="F90:G90" si="24">F91</f>
        <v>0</v>
      </c>
      <c r="G90" s="518">
        <f t="shared" si="24"/>
        <v>0</v>
      </c>
      <c r="H90" s="518">
        <v>267840.38</v>
      </c>
      <c r="I90" s="518">
        <v>0</v>
      </c>
      <c r="J90" s="518">
        <v>0</v>
      </c>
      <c r="K90" s="114"/>
      <c r="L90" s="112"/>
      <c r="M90" s="112"/>
      <c r="N90" s="113"/>
      <c r="O90" s="113"/>
      <c r="P90" s="113"/>
      <c r="Q90" s="101"/>
      <c r="R90" s="101"/>
      <c r="S90" s="101"/>
      <c r="T90" s="167"/>
      <c r="U90" s="167"/>
      <c r="V90" s="167"/>
    </row>
    <row r="91" spans="1:22" s="97" customFormat="1" ht="20.100000000000001" customHeight="1">
      <c r="A91" s="222"/>
      <c r="B91" s="182" t="s">
        <v>1069</v>
      </c>
      <c r="C91" s="37" t="s">
        <v>1048</v>
      </c>
      <c r="D91" s="37" t="s">
        <v>90</v>
      </c>
      <c r="E91" s="183">
        <f>E92+E94</f>
        <v>267840.38</v>
      </c>
      <c r="F91" s="183">
        <f>F92+F94</f>
        <v>0</v>
      </c>
      <c r="G91" s="183">
        <f>G92+G94</f>
        <v>0</v>
      </c>
      <c r="H91" s="183">
        <v>267840.38</v>
      </c>
      <c r="I91" s="183">
        <v>0</v>
      </c>
      <c r="J91" s="183">
        <v>0</v>
      </c>
      <c r="K91" s="182" t="s">
        <v>1069</v>
      </c>
      <c r="L91" s="37" t="s">
        <v>1048</v>
      </c>
      <c r="M91" s="37" t="s">
        <v>90</v>
      </c>
      <c r="N91" s="183">
        <v>267840.38</v>
      </c>
      <c r="O91" s="183">
        <v>0</v>
      </c>
      <c r="P91" s="183">
        <v>0</v>
      </c>
      <c r="Q91" s="101" t="b">
        <f t="shared" si="13"/>
        <v>1</v>
      </c>
      <c r="R91" s="101" t="b">
        <f t="shared" si="14"/>
        <v>1</v>
      </c>
      <c r="S91" s="101" t="b">
        <f t="shared" si="15"/>
        <v>1</v>
      </c>
      <c r="T91" s="167">
        <f t="shared" si="16"/>
        <v>0</v>
      </c>
      <c r="U91" s="167">
        <f t="shared" si="17"/>
        <v>0</v>
      </c>
      <c r="V91" s="167">
        <f t="shared" si="18"/>
        <v>0</v>
      </c>
    </row>
    <row r="92" spans="1:22" s="97" customFormat="1" ht="20.100000000000001" customHeight="1">
      <c r="A92" s="285"/>
      <c r="B92" s="182" t="s">
        <v>1029</v>
      </c>
      <c r="C92" s="37" t="s">
        <v>1030</v>
      </c>
      <c r="D92" s="37" t="s">
        <v>90</v>
      </c>
      <c r="E92" s="183">
        <f>E93</f>
        <v>138468.64000000001</v>
      </c>
      <c r="F92" s="183">
        <f t="shared" ref="F92:G92" si="25">F93</f>
        <v>0</v>
      </c>
      <c r="G92" s="183">
        <f t="shared" si="25"/>
        <v>0</v>
      </c>
      <c r="H92" s="183">
        <v>138468.64000000001</v>
      </c>
      <c r="I92" s="183">
        <v>0</v>
      </c>
      <c r="J92" s="183">
        <v>0</v>
      </c>
      <c r="K92" s="182" t="s">
        <v>1029</v>
      </c>
      <c r="L92" s="37" t="s">
        <v>1030</v>
      </c>
      <c r="M92" s="37" t="s">
        <v>90</v>
      </c>
      <c r="N92" s="183">
        <v>138468.64000000001</v>
      </c>
      <c r="O92" s="183">
        <v>0</v>
      </c>
      <c r="P92" s="183">
        <v>0</v>
      </c>
      <c r="Q92" s="101" t="b">
        <f t="shared" si="13"/>
        <v>1</v>
      </c>
      <c r="R92" s="101" t="b">
        <f t="shared" si="14"/>
        <v>1</v>
      </c>
      <c r="S92" s="101" t="b">
        <f t="shared" si="15"/>
        <v>1</v>
      </c>
      <c r="T92" s="167">
        <f t="shared" si="16"/>
        <v>0</v>
      </c>
      <c r="U92" s="167">
        <f t="shared" si="17"/>
        <v>0</v>
      </c>
      <c r="V92" s="167">
        <f t="shared" si="18"/>
        <v>0</v>
      </c>
    </row>
    <row r="93" spans="1:22" s="97" customFormat="1" ht="20.100000000000001" customHeight="1">
      <c r="A93" s="285"/>
      <c r="B93" s="114" t="s">
        <v>20</v>
      </c>
      <c r="C93" s="112" t="s">
        <v>1030</v>
      </c>
      <c r="D93" s="112" t="s">
        <v>141</v>
      </c>
      <c r="E93" s="183">
        <f>'Вед-я стр-ра'!H1300</f>
        <v>138468.64000000001</v>
      </c>
      <c r="F93" s="113">
        <v>0</v>
      </c>
      <c r="G93" s="113">
        <v>0</v>
      </c>
      <c r="H93" s="113">
        <v>138468.64000000001</v>
      </c>
      <c r="I93" s="113">
        <v>0</v>
      </c>
      <c r="J93" s="113">
        <v>0</v>
      </c>
      <c r="K93" s="114" t="s">
        <v>20</v>
      </c>
      <c r="L93" s="112" t="s">
        <v>1030</v>
      </c>
      <c r="M93" s="112" t="s">
        <v>141</v>
      </c>
      <c r="N93" s="113">
        <v>138468.64000000001</v>
      </c>
      <c r="O93" s="113">
        <v>0</v>
      </c>
      <c r="P93" s="113">
        <v>0</v>
      </c>
      <c r="Q93" s="101" t="b">
        <f t="shared" si="13"/>
        <v>1</v>
      </c>
      <c r="R93" s="101" t="b">
        <f t="shared" si="14"/>
        <v>1</v>
      </c>
      <c r="S93" s="101" t="b">
        <f t="shared" si="15"/>
        <v>1</v>
      </c>
      <c r="T93" s="167">
        <f t="shared" si="16"/>
        <v>0</v>
      </c>
      <c r="U93" s="167">
        <f t="shared" si="17"/>
        <v>0</v>
      </c>
      <c r="V93" s="167">
        <f t="shared" si="18"/>
        <v>0</v>
      </c>
    </row>
    <row r="94" spans="1:22" s="97" customFormat="1" ht="20.100000000000001" customHeight="1">
      <c r="A94" s="285"/>
      <c r="B94" s="182" t="s">
        <v>1070</v>
      </c>
      <c r="C94" s="37" t="s">
        <v>1071</v>
      </c>
      <c r="D94" s="37" t="s">
        <v>90</v>
      </c>
      <c r="E94" s="183">
        <f>E95</f>
        <v>129371.74</v>
      </c>
      <c r="F94" s="183">
        <f t="shared" ref="F94:G94" si="26">F95</f>
        <v>0</v>
      </c>
      <c r="G94" s="183">
        <f t="shared" si="26"/>
        <v>0</v>
      </c>
      <c r="H94" s="183">
        <v>129371.74</v>
      </c>
      <c r="I94" s="183">
        <v>0</v>
      </c>
      <c r="J94" s="183">
        <v>0</v>
      </c>
      <c r="K94" s="182" t="s">
        <v>1070</v>
      </c>
      <c r="L94" s="37" t="s">
        <v>1071</v>
      </c>
      <c r="M94" s="37" t="s">
        <v>90</v>
      </c>
      <c r="N94" s="183">
        <v>129371.74</v>
      </c>
      <c r="O94" s="183">
        <v>0</v>
      </c>
      <c r="P94" s="183">
        <v>0</v>
      </c>
      <c r="Q94" s="101" t="b">
        <f t="shared" si="13"/>
        <v>1</v>
      </c>
      <c r="R94" s="101" t="b">
        <f t="shared" si="14"/>
        <v>1</v>
      </c>
      <c r="S94" s="101" t="b">
        <f t="shared" si="15"/>
        <v>1</v>
      </c>
      <c r="T94" s="167">
        <f t="shared" si="16"/>
        <v>0</v>
      </c>
      <c r="U94" s="167">
        <f t="shared" si="17"/>
        <v>0</v>
      </c>
      <c r="V94" s="167">
        <f t="shared" si="18"/>
        <v>0</v>
      </c>
    </row>
    <row r="95" spans="1:22" s="97" customFormat="1" ht="20.100000000000001" customHeight="1">
      <c r="A95" s="285"/>
      <c r="B95" s="114" t="s">
        <v>20</v>
      </c>
      <c r="C95" s="112" t="s">
        <v>1071</v>
      </c>
      <c r="D95" s="112" t="s">
        <v>141</v>
      </c>
      <c r="E95" s="183">
        <f>'Вед-я стр-ра'!H1302</f>
        <v>129371.74</v>
      </c>
      <c r="F95" s="113">
        <v>0</v>
      </c>
      <c r="G95" s="113">
        <v>0</v>
      </c>
      <c r="H95" s="113">
        <v>129371.74</v>
      </c>
      <c r="I95" s="113">
        <v>0</v>
      </c>
      <c r="J95" s="113">
        <v>0</v>
      </c>
      <c r="K95" s="114" t="s">
        <v>20</v>
      </c>
      <c r="L95" s="112" t="s">
        <v>1071</v>
      </c>
      <c r="M95" s="112" t="s">
        <v>141</v>
      </c>
      <c r="N95" s="113">
        <v>129371.74</v>
      </c>
      <c r="O95" s="113">
        <v>0</v>
      </c>
      <c r="P95" s="113">
        <v>0</v>
      </c>
      <c r="Q95" s="101" t="b">
        <f t="shared" si="13"/>
        <v>1</v>
      </c>
      <c r="R95" s="101" t="b">
        <f t="shared" si="14"/>
        <v>1</v>
      </c>
      <c r="S95" s="101" t="b">
        <f t="shared" si="15"/>
        <v>1</v>
      </c>
      <c r="T95" s="167">
        <f t="shared" si="16"/>
        <v>0</v>
      </c>
      <c r="U95" s="167">
        <f t="shared" si="17"/>
        <v>0</v>
      </c>
      <c r="V95" s="167">
        <f t="shared" si="18"/>
        <v>0</v>
      </c>
    </row>
    <row r="96" spans="1:22" s="97" customFormat="1" ht="20.100000000000001" customHeight="1">
      <c r="A96" s="285"/>
      <c r="B96" s="496" t="s">
        <v>1263</v>
      </c>
      <c r="C96" s="517" t="s">
        <v>1259</v>
      </c>
      <c r="D96" s="517" t="s">
        <v>90</v>
      </c>
      <c r="E96" s="518">
        <f>E97</f>
        <v>380345.37</v>
      </c>
      <c r="F96" s="518">
        <f t="shared" ref="F96:G96" si="27">F97</f>
        <v>2085150.08</v>
      </c>
      <c r="G96" s="518">
        <f t="shared" si="27"/>
        <v>0</v>
      </c>
      <c r="H96" s="518">
        <v>380345.37</v>
      </c>
      <c r="I96" s="518">
        <v>2085150.08</v>
      </c>
      <c r="J96" s="518">
        <v>0</v>
      </c>
      <c r="K96" s="114"/>
      <c r="L96" s="112"/>
      <c r="M96" s="112"/>
      <c r="N96" s="113"/>
      <c r="O96" s="113"/>
      <c r="P96" s="113"/>
      <c r="Q96" s="101"/>
      <c r="R96" s="101"/>
      <c r="S96" s="101"/>
      <c r="T96" s="167"/>
      <c r="U96" s="167"/>
      <c r="V96" s="167"/>
    </row>
    <row r="97" spans="1:22" s="97" customFormat="1" ht="20.100000000000001" customHeight="1">
      <c r="A97" s="285"/>
      <c r="B97" s="23" t="s">
        <v>1056</v>
      </c>
      <c r="C97" s="37" t="s">
        <v>1049</v>
      </c>
      <c r="D97" s="37" t="s">
        <v>90</v>
      </c>
      <c r="E97" s="183">
        <f>E98+E100+E102</f>
        <v>380345.37</v>
      </c>
      <c r="F97" s="183">
        <f>F98+F100+F102</f>
        <v>2085150.08</v>
      </c>
      <c r="G97" s="183">
        <f>G98+G100+G102</f>
        <v>0</v>
      </c>
      <c r="H97" s="183">
        <v>380345.37</v>
      </c>
      <c r="I97" s="183">
        <v>2085150.08</v>
      </c>
      <c r="J97" s="183">
        <v>0</v>
      </c>
      <c r="K97" s="23" t="s">
        <v>1056</v>
      </c>
      <c r="L97" s="37" t="s">
        <v>1049</v>
      </c>
      <c r="M97" s="37" t="s">
        <v>90</v>
      </c>
      <c r="N97" s="183">
        <v>380345.37</v>
      </c>
      <c r="O97" s="183">
        <v>2085150.08</v>
      </c>
      <c r="P97" s="183">
        <v>0</v>
      </c>
      <c r="Q97" s="101" t="b">
        <f t="shared" si="13"/>
        <v>1</v>
      </c>
      <c r="R97" s="101" t="b">
        <f t="shared" si="14"/>
        <v>1</v>
      </c>
      <c r="S97" s="101" t="b">
        <f t="shared" si="15"/>
        <v>1</v>
      </c>
      <c r="T97" s="167">
        <f t="shared" si="16"/>
        <v>0</v>
      </c>
      <c r="U97" s="167">
        <f t="shared" si="17"/>
        <v>0</v>
      </c>
      <c r="V97" s="167">
        <f t="shared" si="18"/>
        <v>0</v>
      </c>
    </row>
    <row r="98" spans="1:22" s="97" customFormat="1" ht="20.100000000000001" customHeight="1">
      <c r="A98" s="285"/>
      <c r="B98" s="182" t="s">
        <v>1021</v>
      </c>
      <c r="C98" s="37" t="s">
        <v>1171</v>
      </c>
      <c r="D98" s="37" t="s">
        <v>90</v>
      </c>
      <c r="E98" s="183">
        <f>E99</f>
        <v>142534.95000000001</v>
      </c>
      <c r="F98" s="183">
        <f t="shared" ref="F98:G98" si="28">F99</f>
        <v>1271856.29</v>
      </c>
      <c r="G98" s="183">
        <f t="shared" si="28"/>
        <v>0</v>
      </c>
      <c r="H98" s="183">
        <v>142534.95000000001</v>
      </c>
      <c r="I98" s="183">
        <v>1271856.29</v>
      </c>
      <c r="J98" s="183">
        <v>0</v>
      </c>
      <c r="K98" s="182" t="s">
        <v>1021</v>
      </c>
      <c r="L98" s="37" t="s">
        <v>1171</v>
      </c>
      <c r="M98" s="37" t="s">
        <v>90</v>
      </c>
      <c r="N98" s="183">
        <v>142534.95000000001</v>
      </c>
      <c r="O98" s="183">
        <v>1271856.29</v>
      </c>
      <c r="P98" s="183">
        <v>0</v>
      </c>
      <c r="Q98" s="101" t="b">
        <f t="shared" si="13"/>
        <v>1</v>
      </c>
      <c r="R98" s="101" t="b">
        <f t="shared" si="14"/>
        <v>1</v>
      </c>
      <c r="S98" s="101" t="b">
        <f t="shared" si="15"/>
        <v>1</v>
      </c>
      <c r="T98" s="167">
        <f t="shared" si="16"/>
        <v>0</v>
      </c>
      <c r="U98" s="167">
        <f t="shared" si="17"/>
        <v>0</v>
      </c>
      <c r="V98" s="167">
        <f t="shared" si="18"/>
        <v>0</v>
      </c>
    </row>
    <row r="99" spans="1:22" s="97" customFormat="1" ht="20.100000000000001" customHeight="1">
      <c r="A99" s="285"/>
      <c r="B99" s="114" t="s">
        <v>20</v>
      </c>
      <c r="C99" s="112" t="s">
        <v>1171</v>
      </c>
      <c r="D99" s="112" t="s">
        <v>141</v>
      </c>
      <c r="E99" s="113">
        <f>'Вед-я стр-ра'!H1309</f>
        <v>142534.95000000001</v>
      </c>
      <c r="F99" s="113">
        <f>'Вед-я стр-ра'!I1309</f>
        <v>1271856.29</v>
      </c>
      <c r="G99" s="113">
        <f>'Вед-я стр-ра'!J1309</f>
        <v>0</v>
      </c>
      <c r="H99" s="113">
        <v>142534.95000000001</v>
      </c>
      <c r="I99" s="113">
        <v>1271856.29</v>
      </c>
      <c r="J99" s="113">
        <v>0</v>
      </c>
      <c r="K99" s="114" t="s">
        <v>20</v>
      </c>
      <c r="L99" s="112" t="s">
        <v>1171</v>
      </c>
      <c r="M99" s="112" t="s">
        <v>141</v>
      </c>
      <c r="N99" s="113">
        <v>142534.95000000001</v>
      </c>
      <c r="O99" s="113">
        <v>1271856.29</v>
      </c>
      <c r="P99" s="113">
        <v>0</v>
      </c>
      <c r="Q99" s="101" t="b">
        <f t="shared" si="13"/>
        <v>1</v>
      </c>
      <c r="R99" s="101" t="b">
        <f t="shared" si="14"/>
        <v>1</v>
      </c>
      <c r="S99" s="101" t="b">
        <f t="shared" si="15"/>
        <v>1</v>
      </c>
      <c r="T99" s="167">
        <f t="shared" si="16"/>
        <v>0</v>
      </c>
      <c r="U99" s="167">
        <f t="shared" si="17"/>
        <v>0</v>
      </c>
      <c r="V99" s="167">
        <f t="shared" si="18"/>
        <v>0</v>
      </c>
    </row>
    <row r="100" spans="1:22" ht="20.100000000000001" customHeight="1">
      <c r="A100" s="285"/>
      <c r="B100" s="182" t="s">
        <v>1169</v>
      </c>
      <c r="C100" s="37" t="s">
        <v>1047</v>
      </c>
      <c r="D100" s="37" t="s">
        <v>90</v>
      </c>
      <c r="E100" s="183">
        <f>E101</f>
        <v>237810.42</v>
      </c>
      <c r="F100" s="183">
        <f t="shared" ref="F100:G100" si="29">F101</f>
        <v>372081.37</v>
      </c>
      <c r="G100" s="183">
        <f t="shared" si="29"/>
        <v>0</v>
      </c>
      <c r="H100" s="183">
        <v>237810.42</v>
      </c>
      <c r="I100" s="183">
        <v>372081.37</v>
      </c>
      <c r="J100" s="183">
        <v>0</v>
      </c>
      <c r="K100" s="182" t="s">
        <v>1169</v>
      </c>
      <c r="L100" s="37" t="s">
        <v>1047</v>
      </c>
      <c r="M100" s="37" t="s">
        <v>90</v>
      </c>
      <c r="N100" s="183">
        <v>237810.42</v>
      </c>
      <c r="O100" s="183">
        <v>372081.37</v>
      </c>
      <c r="P100" s="183">
        <v>0</v>
      </c>
      <c r="Q100" s="101" t="b">
        <f t="shared" si="13"/>
        <v>1</v>
      </c>
      <c r="R100" s="101" t="b">
        <f t="shared" si="14"/>
        <v>1</v>
      </c>
      <c r="S100" s="101" t="b">
        <f t="shared" si="15"/>
        <v>1</v>
      </c>
      <c r="T100" s="167">
        <f t="shared" si="16"/>
        <v>0</v>
      </c>
      <c r="U100" s="167">
        <f t="shared" si="17"/>
        <v>0</v>
      </c>
      <c r="V100" s="167">
        <f t="shared" si="18"/>
        <v>0</v>
      </c>
    </row>
    <row r="101" spans="1:22" ht="20.100000000000001" customHeight="1">
      <c r="A101" s="285"/>
      <c r="B101" s="114" t="s">
        <v>20</v>
      </c>
      <c r="C101" s="112" t="s">
        <v>1047</v>
      </c>
      <c r="D101" s="112" t="s">
        <v>141</v>
      </c>
      <c r="E101" s="113">
        <f>'Вед-я стр-ра'!H1311</f>
        <v>237810.42</v>
      </c>
      <c r="F101" s="113">
        <f>'Вед-я стр-ра'!I1311</f>
        <v>372081.37</v>
      </c>
      <c r="G101" s="113">
        <f>'Вед-я стр-ра'!J1311</f>
        <v>0</v>
      </c>
      <c r="H101" s="113">
        <v>237810.42</v>
      </c>
      <c r="I101" s="113">
        <v>372081.37</v>
      </c>
      <c r="J101" s="113">
        <v>0</v>
      </c>
      <c r="K101" s="114" t="s">
        <v>20</v>
      </c>
      <c r="L101" s="112" t="s">
        <v>1047</v>
      </c>
      <c r="M101" s="112" t="s">
        <v>141</v>
      </c>
      <c r="N101" s="113">
        <v>237810.42</v>
      </c>
      <c r="O101" s="113">
        <v>372081.37</v>
      </c>
      <c r="P101" s="113">
        <v>0</v>
      </c>
      <c r="Q101" s="101" t="b">
        <f t="shared" si="13"/>
        <v>1</v>
      </c>
      <c r="R101" s="101" t="b">
        <f t="shared" si="14"/>
        <v>1</v>
      </c>
      <c r="S101" s="101" t="b">
        <f t="shared" si="15"/>
        <v>1</v>
      </c>
      <c r="T101" s="167">
        <f t="shared" si="16"/>
        <v>0</v>
      </c>
      <c r="U101" s="167">
        <f t="shared" si="17"/>
        <v>0</v>
      </c>
      <c r="V101" s="167">
        <f t="shared" si="18"/>
        <v>0</v>
      </c>
    </row>
    <row r="102" spans="1:22" ht="20.100000000000001" customHeight="1">
      <c r="A102" s="285"/>
      <c r="B102" s="182" t="s">
        <v>1170</v>
      </c>
      <c r="C102" s="37" t="s">
        <v>1105</v>
      </c>
      <c r="D102" s="37" t="s">
        <v>90</v>
      </c>
      <c r="E102" s="183">
        <f>E103</f>
        <v>0</v>
      </c>
      <c r="F102" s="183">
        <f t="shared" ref="F102:G102" si="30">F103</f>
        <v>441212.42</v>
      </c>
      <c r="G102" s="183">
        <f t="shared" si="30"/>
        <v>0</v>
      </c>
      <c r="H102" s="183">
        <v>0</v>
      </c>
      <c r="I102" s="183">
        <v>441212.42</v>
      </c>
      <c r="J102" s="183">
        <v>0</v>
      </c>
      <c r="K102" s="182" t="s">
        <v>1170</v>
      </c>
      <c r="L102" s="37" t="s">
        <v>1105</v>
      </c>
      <c r="M102" s="37" t="s">
        <v>90</v>
      </c>
      <c r="N102" s="183">
        <v>0</v>
      </c>
      <c r="O102" s="183">
        <v>441212.42</v>
      </c>
      <c r="P102" s="183">
        <v>0</v>
      </c>
      <c r="Q102" s="101" t="b">
        <f t="shared" si="13"/>
        <v>1</v>
      </c>
      <c r="R102" s="101" t="b">
        <f t="shared" si="14"/>
        <v>1</v>
      </c>
      <c r="S102" s="101" t="b">
        <f t="shared" si="15"/>
        <v>1</v>
      </c>
      <c r="T102" s="167">
        <f t="shared" si="16"/>
        <v>0</v>
      </c>
      <c r="U102" s="167">
        <f t="shared" si="17"/>
        <v>0</v>
      </c>
      <c r="V102" s="167">
        <f t="shared" si="18"/>
        <v>0</v>
      </c>
    </row>
    <row r="103" spans="1:22" ht="20.100000000000001" customHeight="1">
      <c r="A103" s="285"/>
      <c r="B103" s="114" t="s">
        <v>20</v>
      </c>
      <c r="C103" s="112" t="s">
        <v>1105</v>
      </c>
      <c r="D103" s="112" t="s">
        <v>141</v>
      </c>
      <c r="E103" s="113">
        <f>'Вед-я стр-ра'!H1313</f>
        <v>0</v>
      </c>
      <c r="F103" s="113">
        <f>'Вед-я стр-ра'!I1313</f>
        <v>441212.42</v>
      </c>
      <c r="G103" s="113">
        <f>'Вед-я стр-ра'!J1313</f>
        <v>0</v>
      </c>
      <c r="H103" s="113">
        <v>0</v>
      </c>
      <c r="I103" s="113">
        <v>441212.42</v>
      </c>
      <c r="J103" s="113">
        <v>0</v>
      </c>
      <c r="K103" s="114" t="s">
        <v>20</v>
      </c>
      <c r="L103" s="112" t="s">
        <v>1105</v>
      </c>
      <c r="M103" s="112" t="s">
        <v>141</v>
      </c>
      <c r="N103" s="113">
        <v>0</v>
      </c>
      <c r="O103" s="113">
        <v>441212.42</v>
      </c>
      <c r="P103" s="113">
        <v>0</v>
      </c>
      <c r="Q103" s="101" t="b">
        <f t="shared" si="13"/>
        <v>1</v>
      </c>
      <c r="R103" s="101" t="b">
        <f t="shared" si="14"/>
        <v>1</v>
      </c>
      <c r="S103" s="101" t="b">
        <f t="shared" si="15"/>
        <v>1</v>
      </c>
      <c r="T103" s="167">
        <f t="shared" si="16"/>
        <v>0</v>
      </c>
      <c r="U103" s="167">
        <f t="shared" si="17"/>
        <v>0</v>
      </c>
      <c r="V103" s="167">
        <f t="shared" si="18"/>
        <v>0</v>
      </c>
    </row>
    <row r="104" spans="1:22" ht="20.100000000000001" customHeight="1">
      <c r="A104" s="285"/>
      <c r="B104" s="182"/>
      <c r="C104" s="37"/>
      <c r="D104" s="37"/>
      <c r="E104" s="183"/>
      <c r="F104" s="183"/>
      <c r="G104" s="183"/>
      <c r="H104" s="183"/>
      <c r="I104" s="183"/>
      <c r="J104" s="183"/>
      <c r="K104" s="182"/>
      <c r="L104" s="37"/>
      <c r="M104" s="37"/>
      <c r="N104" s="183"/>
      <c r="O104" s="183"/>
      <c r="P104" s="183"/>
      <c r="Q104" s="101" t="b">
        <f t="shared" si="13"/>
        <v>1</v>
      </c>
      <c r="R104" s="101" t="b">
        <f t="shared" si="14"/>
        <v>1</v>
      </c>
      <c r="S104" s="101" t="b">
        <f t="shared" si="15"/>
        <v>1</v>
      </c>
      <c r="T104" s="167">
        <f t="shared" si="16"/>
        <v>0</v>
      </c>
      <c r="U104" s="167">
        <f t="shared" si="17"/>
        <v>0</v>
      </c>
      <c r="V104" s="167">
        <f t="shared" si="18"/>
        <v>0</v>
      </c>
    </row>
    <row r="105" spans="1:22" s="101" customFormat="1" ht="20.100000000000001" customHeight="1">
      <c r="A105" s="345"/>
      <c r="B105" s="42" t="s">
        <v>865</v>
      </c>
      <c r="C105" s="233" t="s">
        <v>293</v>
      </c>
      <c r="D105" s="233" t="s">
        <v>90</v>
      </c>
      <c r="E105" s="234">
        <f>E106</f>
        <v>5251.46</v>
      </c>
      <c r="F105" s="234">
        <f>F106</f>
        <v>5251.46</v>
      </c>
      <c r="G105" s="234">
        <f>G106</f>
        <v>5251.46</v>
      </c>
      <c r="H105" s="234">
        <v>5251.46</v>
      </c>
      <c r="I105" s="234">
        <v>5251.46</v>
      </c>
      <c r="J105" s="234">
        <v>5251.46</v>
      </c>
      <c r="K105" s="42" t="s">
        <v>865</v>
      </c>
      <c r="L105" s="233" t="s">
        <v>293</v>
      </c>
      <c r="M105" s="233" t="s">
        <v>90</v>
      </c>
      <c r="N105" s="234">
        <v>5251.46</v>
      </c>
      <c r="O105" s="234">
        <v>5251.46</v>
      </c>
      <c r="P105" s="234">
        <v>5251.46</v>
      </c>
      <c r="Q105" s="101" t="b">
        <f t="shared" si="13"/>
        <v>1</v>
      </c>
      <c r="R105" s="101" t="b">
        <f t="shared" si="14"/>
        <v>1</v>
      </c>
      <c r="S105" s="101" t="b">
        <f t="shared" si="15"/>
        <v>1</v>
      </c>
      <c r="T105" s="167">
        <f t="shared" si="16"/>
        <v>0</v>
      </c>
      <c r="U105" s="167">
        <f t="shared" si="17"/>
        <v>0</v>
      </c>
      <c r="V105" s="167">
        <f t="shared" si="18"/>
        <v>0</v>
      </c>
    </row>
    <row r="106" spans="1:22" s="102" customFormat="1" ht="20.100000000000001" customHeight="1">
      <c r="A106" s="346"/>
      <c r="B106" s="28" t="s">
        <v>866</v>
      </c>
      <c r="C106" s="236" t="s">
        <v>294</v>
      </c>
      <c r="D106" s="236" t="s">
        <v>90</v>
      </c>
      <c r="E106" s="237">
        <f>E107</f>
        <v>5251.46</v>
      </c>
      <c r="F106" s="237">
        <f t="shared" ref="F106:G106" si="31">F107</f>
        <v>5251.46</v>
      </c>
      <c r="G106" s="237">
        <f t="shared" si="31"/>
        <v>5251.46</v>
      </c>
      <c r="H106" s="237">
        <v>5251.46</v>
      </c>
      <c r="I106" s="237">
        <v>5251.46</v>
      </c>
      <c r="J106" s="237">
        <v>5251.46</v>
      </c>
      <c r="K106" s="28" t="s">
        <v>866</v>
      </c>
      <c r="L106" s="236" t="s">
        <v>294</v>
      </c>
      <c r="M106" s="236" t="s">
        <v>90</v>
      </c>
      <c r="N106" s="237">
        <v>5251.46</v>
      </c>
      <c r="O106" s="237">
        <v>5251.46</v>
      </c>
      <c r="P106" s="237">
        <v>5251.46</v>
      </c>
      <c r="Q106" s="101" t="b">
        <f t="shared" si="13"/>
        <v>1</v>
      </c>
      <c r="R106" s="101" t="b">
        <f t="shared" si="14"/>
        <v>1</v>
      </c>
      <c r="S106" s="101" t="b">
        <f t="shared" si="15"/>
        <v>1</v>
      </c>
      <c r="T106" s="167">
        <f t="shared" si="16"/>
        <v>0</v>
      </c>
      <c r="U106" s="167">
        <f t="shared" si="17"/>
        <v>0</v>
      </c>
      <c r="V106" s="167">
        <f t="shared" si="18"/>
        <v>0</v>
      </c>
    </row>
    <row r="107" spans="1:22" s="102" customFormat="1" ht="20.100000000000001" customHeight="1">
      <c r="A107" s="346"/>
      <c r="B107" s="497" t="s">
        <v>1218</v>
      </c>
      <c r="C107" s="498" t="s">
        <v>1220</v>
      </c>
      <c r="D107" s="239" t="s">
        <v>90</v>
      </c>
      <c r="E107" s="244">
        <f t="shared" ref="E107:G108" si="32">E108</f>
        <v>5251.46</v>
      </c>
      <c r="F107" s="244">
        <f t="shared" si="32"/>
        <v>5251.46</v>
      </c>
      <c r="G107" s="244">
        <f t="shared" si="32"/>
        <v>5251.46</v>
      </c>
      <c r="H107" s="244">
        <v>5251.46</v>
      </c>
      <c r="I107" s="244">
        <v>5251.46</v>
      </c>
      <c r="J107" s="244">
        <v>5251.46</v>
      </c>
      <c r="K107" s="22" t="s">
        <v>869</v>
      </c>
      <c r="L107" s="239" t="s">
        <v>295</v>
      </c>
      <c r="M107" s="239" t="s">
        <v>90</v>
      </c>
      <c r="N107" s="244">
        <v>5251.46</v>
      </c>
      <c r="O107" s="244">
        <v>5251.46</v>
      </c>
      <c r="P107" s="244">
        <v>5251.46</v>
      </c>
      <c r="Q107" s="101" t="b">
        <f t="shared" si="13"/>
        <v>0</v>
      </c>
      <c r="R107" s="101" t="b">
        <f t="shared" si="14"/>
        <v>0</v>
      </c>
      <c r="S107" s="101" t="b">
        <f t="shared" si="15"/>
        <v>1</v>
      </c>
      <c r="T107" s="167">
        <f t="shared" si="16"/>
        <v>0</v>
      </c>
      <c r="U107" s="167">
        <f t="shared" si="17"/>
        <v>0</v>
      </c>
      <c r="V107" s="167">
        <f t="shared" si="18"/>
        <v>0</v>
      </c>
    </row>
    <row r="108" spans="1:22" s="102" customFormat="1" ht="20.100000000000001" customHeight="1">
      <c r="A108" s="346"/>
      <c r="B108" s="496" t="s">
        <v>1219</v>
      </c>
      <c r="C108" s="498" t="s">
        <v>1221</v>
      </c>
      <c r="D108" s="239" t="s">
        <v>90</v>
      </c>
      <c r="E108" s="244">
        <f t="shared" si="32"/>
        <v>5251.46</v>
      </c>
      <c r="F108" s="244">
        <f t="shared" si="32"/>
        <v>5251.46</v>
      </c>
      <c r="G108" s="244">
        <f t="shared" si="32"/>
        <v>5251.46</v>
      </c>
      <c r="H108" s="244">
        <v>5251.46</v>
      </c>
      <c r="I108" s="244">
        <v>5251.46</v>
      </c>
      <c r="J108" s="244">
        <v>5251.46</v>
      </c>
      <c r="K108" s="22" t="s">
        <v>870</v>
      </c>
      <c r="L108" s="239" t="s">
        <v>804</v>
      </c>
      <c r="M108" s="239" t="s">
        <v>90</v>
      </c>
      <c r="N108" s="244">
        <v>5251.46</v>
      </c>
      <c r="O108" s="244">
        <v>5251.46</v>
      </c>
      <c r="P108" s="244">
        <v>5251.46</v>
      </c>
      <c r="Q108" s="101" t="b">
        <f t="shared" si="13"/>
        <v>0</v>
      </c>
      <c r="R108" s="101" t="b">
        <f t="shared" si="14"/>
        <v>0</v>
      </c>
      <c r="S108" s="101" t="b">
        <f t="shared" si="15"/>
        <v>1</v>
      </c>
      <c r="T108" s="167">
        <f t="shared" si="16"/>
        <v>0</v>
      </c>
      <c r="U108" s="167">
        <f t="shared" si="17"/>
        <v>0</v>
      </c>
      <c r="V108" s="167">
        <f t="shared" si="18"/>
        <v>0</v>
      </c>
    </row>
    <row r="109" spans="1:22" s="102" customFormat="1" ht="20.100000000000001" customHeight="1">
      <c r="A109" s="346"/>
      <c r="B109" s="180" t="s">
        <v>145</v>
      </c>
      <c r="C109" s="498" t="s">
        <v>1221</v>
      </c>
      <c r="D109" s="239" t="s">
        <v>153</v>
      </c>
      <c r="E109" s="240">
        <f>'Вед-я стр-ра'!H1138</f>
        <v>5251.46</v>
      </c>
      <c r="F109" s="240">
        <f>'Вед-я стр-ра'!I1138</f>
        <v>5251.46</v>
      </c>
      <c r="G109" s="240">
        <f>'Вед-я стр-ра'!J1138</f>
        <v>5251.46</v>
      </c>
      <c r="H109" s="240">
        <v>5251.46</v>
      </c>
      <c r="I109" s="240">
        <v>5251.46</v>
      </c>
      <c r="J109" s="240">
        <v>5251.46</v>
      </c>
      <c r="K109" s="180" t="s">
        <v>145</v>
      </c>
      <c r="L109" s="239" t="s">
        <v>804</v>
      </c>
      <c r="M109" s="239" t="s">
        <v>153</v>
      </c>
      <c r="N109" s="240">
        <v>5251.46</v>
      </c>
      <c r="O109" s="240">
        <v>5251.46</v>
      </c>
      <c r="P109" s="240">
        <v>5251.46</v>
      </c>
      <c r="Q109" s="101" t="b">
        <f t="shared" si="13"/>
        <v>1</v>
      </c>
      <c r="R109" s="101" t="b">
        <f t="shared" si="14"/>
        <v>0</v>
      </c>
      <c r="S109" s="101" t="b">
        <f t="shared" si="15"/>
        <v>1</v>
      </c>
      <c r="T109" s="167">
        <f t="shared" si="16"/>
        <v>0</v>
      </c>
      <c r="U109" s="167">
        <f t="shared" si="17"/>
        <v>0</v>
      </c>
      <c r="V109" s="167">
        <f t="shared" si="18"/>
        <v>0</v>
      </c>
    </row>
    <row r="110" spans="1:22" s="97" customFormat="1" ht="20.100000000000001" customHeight="1">
      <c r="A110" s="222"/>
      <c r="B110" s="180"/>
      <c r="C110" s="238"/>
      <c r="D110" s="239"/>
      <c r="E110" s="244"/>
      <c r="F110" s="244"/>
      <c r="G110" s="244"/>
      <c r="H110" s="244"/>
      <c r="I110" s="244"/>
      <c r="J110" s="244"/>
      <c r="K110" s="180"/>
      <c r="L110" s="238"/>
      <c r="M110" s="239"/>
      <c r="N110" s="244"/>
      <c r="O110" s="244"/>
      <c r="P110" s="244"/>
      <c r="Q110" s="101" t="b">
        <f t="shared" si="13"/>
        <v>1</v>
      </c>
      <c r="R110" s="101" t="b">
        <f t="shared" si="14"/>
        <v>1</v>
      </c>
      <c r="S110" s="101" t="b">
        <f t="shared" si="15"/>
        <v>1</v>
      </c>
      <c r="T110" s="167">
        <f t="shared" si="16"/>
        <v>0</v>
      </c>
      <c r="U110" s="167">
        <f t="shared" si="17"/>
        <v>0</v>
      </c>
      <c r="V110" s="167">
        <f t="shared" si="18"/>
        <v>0</v>
      </c>
    </row>
    <row r="111" spans="1:22" s="101" customFormat="1" ht="20.100000000000001" customHeight="1">
      <c r="A111" s="345"/>
      <c r="B111" s="42" t="s">
        <v>650</v>
      </c>
      <c r="C111" s="233" t="s">
        <v>313</v>
      </c>
      <c r="D111" s="233" t="s">
        <v>90</v>
      </c>
      <c r="E111" s="234">
        <f>E112+E174+E220</f>
        <v>2813717.33</v>
      </c>
      <c r="F111" s="234">
        <f>F112+F174+F220</f>
        <v>2200765.38</v>
      </c>
      <c r="G111" s="234">
        <f>G112+G174+G220</f>
        <v>2147108.12</v>
      </c>
      <c r="H111" s="234">
        <v>2683938.8200000008</v>
      </c>
      <c r="I111" s="234">
        <v>2196221.06</v>
      </c>
      <c r="J111" s="234">
        <v>2155681.7600000002</v>
      </c>
      <c r="K111" s="42" t="s">
        <v>650</v>
      </c>
      <c r="L111" s="233" t="s">
        <v>313</v>
      </c>
      <c r="M111" s="233" t="s">
        <v>90</v>
      </c>
      <c r="N111" s="234">
        <v>2683938.8200000008</v>
      </c>
      <c r="O111" s="234">
        <v>2196221.06</v>
      </c>
      <c r="P111" s="234">
        <v>2155681.7600000002</v>
      </c>
      <c r="Q111" s="101" t="b">
        <f t="shared" si="13"/>
        <v>1</v>
      </c>
      <c r="R111" s="101" t="b">
        <f t="shared" si="14"/>
        <v>1</v>
      </c>
      <c r="S111" s="101" t="b">
        <f t="shared" si="15"/>
        <v>1</v>
      </c>
      <c r="T111" s="167">
        <f t="shared" si="16"/>
        <v>129778.50999999931</v>
      </c>
      <c r="U111" s="167">
        <f t="shared" si="17"/>
        <v>4544.3199999998324</v>
      </c>
      <c r="V111" s="167">
        <f t="shared" si="18"/>
        <v>-8573.6400000001304</v>
      </c>
    </row>
    <row r="112" spans="1:22" s="90" customFormat="1" ht="20.100000000000001" customHeight="1">
      <c r="A112" s="347" t="s">
        <v>799</v>
      </c>
      <c r="B112" s="241" t="s">
        <v>365</v>
      </c>
      <c r="C112" s="236" t="s">
        <v>366</v>
      </c>
      <c r="D112" s="236" t="s">
        <v>90</v>
      </c>
      <c r="E112" s="237">
        <f>E113+E154+E171</f>
        <v>2749742.76</v>
      </c>
      <c r="F112" s="237">
        <f>F113+F154+F171</f>
        <v>2136983.7999999998</v>
      </c>
      <c r="G112" s="237">
        <f>G113+G154+G171</f>
        <v>2083325.2600000002</v>
      </c>
      <c r="H112" s="237">
        <v>2619964.2500000005</v>
      </c>
      <c r="I112" s="237">
        <v>2132439.48</v>
      </c>
      <c r="J112" s="237">
        <v>2091898.9000000004</v>
      </c>
      <c r="K112" s="241" t="s">
        <v>365</v>
      </c>
      <c r="L112" s="236" t="s">
        <v>366</v>
      </c>
      <c r="M112" s="236" t="s">
        <v>90</v>
      </c>
      <c r="N112" s="237">
        <v>2619964.2500000005</v>
      </c>
      <c r="O112" s="237">
        <v>2132439.48</v>
      </c>
      <c r="P112" s="237">
        <v>2091898.9000000004</v>
      </c>
      <c r="Q112" s="101" t="b">
        <f t="shared" si="13"/>
        <v>1</v>
      </c>
      <c r="R112" s="101" t="b">
        <f t="shared" si="14"/>
        <v>1</v>
      </c>
      <c r="S112" s="101" t="b">
        <f t="shared" si="15"/>
        <v>1</v>
      </c>
      <c r="T112" s="167">
        <f t="shared" si="16"/>
        <v>129778.50999999931</v>
      </c>
      <c r="U112" s="167">
        <f t="shared" si="17"/>
        <v>4544.3199999998324</v>
      </c>
      <c r="V112" s="167">
        <f t="shared" si="18"/>
        <v>-8573.6400000001304</v>
      </c>
    </row>
    <row r="113" spans="1:22" s="90" customFormat="1" ht="20.100000000000001" customHeight="1">
      <c r="A113" s="289"/>
      <c r="B113" s="180" t="s">
        <v>367</v>
      </c>
      <c r="C113" s="238" t="s">
        <v>368</v>
      </c>
      <c r="D113" s="239" t="s">
        <v>90</v>
      </c>
      <c r="E113" s="244">
        <f>E114+E117+E121+E129+E132+E135+E138+E141+E144+E123+E126+E150+E147+E152</f>
        <v>1729900.17</v>
      </c>
      <c r="F113" s="244">
        <f t="shared" ref="F113:G113" si="33">F114+F117+F121+F129+F132+F135+F138+F141+F144+F123+F126+F150+F147+F152</f>
        <v>1701657</v>
      </c>
      <c r="G113" s="244">
        <f t="shared" si="33"/>
        <v>1712020.9500000002</v>
      </c>
      <c r="H113" s="244">
        <v>1645960.2500000002</v>
      </c>
      <c r="I113" s="244">
        <v>1656756.9500000002</v>
      </c>
      <c r="J113" s="244">
        <v>1664103.1800000004</v>
      </c>
      <c r="K113" s="180" t="s">
        <v>367</v>
      </c>
      <c r="L113" s="238" t="s">
        <v>368</v>
      </c>
      <c r="M113" s="239" t="s">
        <v>90</v>
      </c>
      <c r="N113" s="244">
        <v>1645960.2500000002</v>
      </c>
      <c r="O113" s="244">
        <v>1656756.9500000002</v>
      </c>
      <c r="P113" s="244">
        <v>1664103.1800000004</v>
      </c>
      <c r="Q113" s="101" t="b">
        <f t="shared" si="13"/>
        <v>1</v>
      </c>
      <c r="R113" s="101" t="b">
        <f t="shared" si="14"/>
        <v>1</v>
      </c>
      <c r="S113" s="101" t="b">
        <f t="shared" si="15"/>
        <v>1</v>
      </c>
      <c r="T113" s="167">
        <f t="shared" si="16"/>
        <v>83939.919999999693</v>
      </c>
      <c r="U113" s="167">
        <f t="shared" si="17"/>
        <v>44900.049999999814</v>
      </c>
      <c r="V113" s="167">
        <f t="shared" si="18"/>
        <v>47917.769999999786</v>
      </c>
    </row>
    <row r="114" spans="1:22" s="90" customFormat="1" ht="20.100000000000001" customHeight="1">
      <c r="A114" s="347"/>
      <c r="B114" s="47" t="s">
        <v>851</v>
      </c>
      <c r="C114" s="238" t="s">
        <v>369</v>
      </c>
      <c r="D114" s="239" t="s">
        <v>90</v>
      </c>
      <c r="E114" s="244">
        <f>E115+E116</f>
        <v>21017.440000000002</v>
      </c>
      <c r="F114" s="244">
        <f>F115+F116</f>
        <v>21858.13</v>
      </c>
      <c r="G114" s="244">
        <f>G115+G116</f>
        <v>22732.46</v>
      </c>
      <c r="H114" s="244">
        <v>21017.440000000002</v>
      </c>
      <c r="I114" s="244">
        <v>21858.13</v>
      </c>
      <c r="J114" s="244">
        <v>22732.46</v>
      </c>
      <c r="K114" s="47" t="s">
        <v>851</v>
      </c>
      <c r="L114" s="238" t="s">
        <v>369</v>
      </c>
      <c r="M114" s="239" t="s">
        <v>90</v>
      </c>
      <c r="N114" s="244">
        <v>21017.440000000002</v>
      </c>
      <c r="O114" s="244">
        <v>21858.13</v>
      </c>
      <c r="P114" s="244">
        <v>22732.46</v>
      </c>
      <c r="Q114" s="101" t="b">
        <f t="shared" si="13"/>
        <v>1</v>
      </c>
      <c r="R114" s="101" t="b">
        <f t="shared" si="14"/>
        <v>1</v>
      </c>
      <c r="S114" s="101" t="b">
        <f t="shared" si="15"/>
        <v>1</v>
      </c>
      <c r="T114" s="167">
        <f t="shared" si="16"/>
        <v>0</v>
      </c>
      <c r="U114" s="167">
        <f t="shared" si="17"/>
        <v>0</v>
      </c>
      <c r="V114" s="167">
        <f t="shared" si="18"/>
        <v>0</v>
      </c>
    </row>
    <row r="115" spans="1:22" s="90" customFormat="1" ht="20.100000000000001" customHeight="1">
      <c r="A115" s="347"/>
      <c r="B115" s="180" t="s">
        <v>145</v>
      </c>
      <c r="C115" s="238" t="s">
        <v>369</v>
      </c>
      <c r="D115" s="239" t="s">
        <v>153</v>
      </c>
      <c r="E115" s="244">
        <f>'Вед-я стр-ра'!H678</f>
        <v>306.63</v>
      </c>
      <c r="F115" s="244">
        <f>'Вед-я стр-ра'!I678</f>
        <v>322.13</v>
      </c>
      <c r="G115" s="244">
        <f>'Вед-я стр-ра'!J678</f>
        <v>335.46</v>
      </c>
      <c r="H115" s="244">
        <v>306.63</v>
      </c>
      <c r="I115" s="244">
        <v>322.13</v>
      </c>
      <c r="J115" s="244">
        <v>335.46</v>
      </c>
      <c r="K115" s="180" t="s">
        <v>145</v>
      </c>
      <c r="L115" s="238" t="s">
        <v>369</v>
      </c>
      <c r="M115" s="239" t="s">
        <v>153</v>
      </c>
      <c r="N115" s="244">
        <v>306.63</v>
      </c>
      <c r="O115" s="244">
        <v>322.13</v>
      </c>
      <c r="P115" s="244">
        <v>335.46</v>
      </c>
      <c r="Q115" s="101" t="b">
        <f t="shared" si="13"/>
        <v>1</v>
      </c>
      <c r="R115" s="101" t="b">
        <f t="shared" si="14"/>
        <v>1</v>
      </c>
      <c r="S115" s="101" t="b">
        <f t="shared" si="15"/>
        <v>1</v>
      </c>
      <c r="T115" s="167">
        <f t="shared" si="16"/>
        <v>0</v>
      </c>
      <c r="U115" s="167">
        <f t="shared" si="17"/>
        <v>0</v>
      </c>
      <c r="V115" s="167">
        <f t="shared" si="18"/>
        <v>0</v>
      </c>
    </row>
    <row r="116" spans="1:22" s="90" customFormat="1" ht="20.100000000000001" customHeight="1">
      <c r="A116" s="347"/>
      <c r="B116" s="180" t="s">
        <v>146</v>
      </c>
      <c r="C116" s="238" t="s">
        <v>369</v>
      </c>
      <c r="D116" s="239" t="s">
        <v>169</v>
      </c>
      <c r="E116" s="244">
        <f>'Вед-я стр-ра'!H679</f>
        <v>20710.810000000001</v>
      </c>
      <c r="F116" s="244">
        <f>'Вед-я стр-ра'!I679</f>
        <v>21536</v>
      </c>
      <c r="G116" s="244">
        <f>'Вед-я стр-ра'!J679</f>
        <v>22397</v>
      </c>
      <c r="H116" s="244">
        <v>20710.810000000001</v>
      </c>
      <c r="I116" s="244">
        <v>21536</v>
      </c>
      <c r="J116" s="244">
        <v>22397</v>
      </c>
      <c r="K116" s="180" t="s">
        <v>146</v>
      </c>
      <c r="L116" s="238" t="s">
        <v>369</v>
      </c>
      <c r="M116" s="239" t="s">
        <v>169</v>
      </c>
      <c r="N116" s="244">
        <v>20710.810000000001</v>
      </c>
      <c r="O116" s="244">
        <v>21536</v>
      </c>
      <c r="P116" s="244">
        <v>22397</v>
      </c>
      <c r="Q116" s="101" t="b">
        <f t="shared" si="13"/>
        <v>1</v>
      </c>
      <c r="R116" s="101" t="b">
        <f t="shared" si="14"/>
        <v>1</v>
      </c>
      <c r="S116" s="101" t="b">
        <f t="shared" si="15"/>
        <v>1</v>
      </c>
      <c r="T116" s="167">
        <f t="shared" si="16"/>
        <v>0</v>
      </c>
      <c r="U116" s="167">
        <f t="shared" si="17"/>
        <v>0</v>
      </c>
      <c r="V116" s="167">
        <f t="shared" si="18"/>
        <v>0</v>
      </c>
    </row>
    <row r="117" spans="1:22" s="90" customFormat="1" ht="20.100000000000001" customHeight="1">
      <c r="A117" s="347"/>
      <c r="B117" s="23" t="s">
        <v>1086</v>
      </c>
      <c r="C117" s="238" t="s">
        <v>370</v>
      </c>
      <c r="D117" s="239" t="s">
        <v>90</v>
      </c>
      <c r="E117" s="244">
        <f>SUM(E118:E120)</f>
        <v>393526.94</v>
      </c>
      <c r="F117" s="244">
        <f>SUM(F118:F120)</f>
        <v>393478.47</v>
      </c>
      <c r="G117" s="244">
        <f>SUM(G118:G120)</f>
        <v>393430.02</v>
      </c>
      <c r="H117" s="244">
        <v>393526.94</v>
      </c>
      <c r="I117" s="244">
        <v>393478.47</v>
      </c>
      <c r="J117" s="244">
        <v>393430.01</v>
      </c>
      <c r="K117" s="23" t="s">
        <v>1086</v>
      </c>
      <c r="L117" s="238" t="s">
        <v>370</v>
      </c>
      <c r="M117" s="239" t="s">
        <v>90</v>
      </c>
      <c r="N117" s="244">
        <v>393526.94</v>
      </c>
      <c r="O117" s="244">
        <v>393478.47</v>
      </c>
      <c r="P117" s="244">
        <v>393430.01</v>
      </c>
      <c r="Q117" s="101" t="b">
        <f t="shared" si="13"/>
        <v>1</v>
      </c>
      <c r="R117" s="101" t="b">
        <f t="shared" si="14"/>
        <v>1</v>
      </c>
      <c r="S117" s="101" t="b">
        <f t="shared" si="15"/>
        <v>1</v>
      </c>
      <c r="T117" s="167">
        <f t="shared" si="16"/>
        <v>0</v>
      </c>
      <c r="U117" s="167">
        <f t="shared" si="17"/>
        <v>0</v>
      </c>
      <c r="V117" s="167">
        <f t="shared" si="18"/>
        <v>1.0000000009313226E-2</v>
      </c>
    </row>
    <row r="118" spans="1:22" s="90" customFormat="1" ht="20.100000000000001" customHeight="1">
      <c r="A118" s="347"/>
      <c r="B118" s="178" t="s">
        <v>144</v>
      </c>
      <c r="C118" s="238" t="s">
        <v>370</v>
      </c>
      <c r="D118" s="239" t="s">
        <v>152</v>
      </c>
      <c r="E118" s="244">
        <f>'Вед-я стр-ра'!H789</f>
        <v>2600</v>
      </c>
      <c r="F118" s="244">
        <f>'Вед-я стр-ра'!I789</f>
        <v>2546</v>
      </c>
      <c r="G118" s="244">
        <f>'Вед-я стр-ра'!J789</f>
        <v>2546</v>
      </c>
      <c r="H118" s="244">
        <v>2600</v>
      </c>
      <c r="I118" s="244">
        <v>2546</v>
      </c>
      <c r="J118" s="244">
        <v>2546</v>
      </c>
      <c r="K118" s="178" t="s">
        <v>144</v>
      </c>
      <c r="L118" s="238" t="s">
        <v>370</v>
      </c>
      <c r="M118" s="239" t="s">
        <v>152</v>
      </c>
      <c r="N118" s="244">
        <v>2600</v>
      </c>
      <c r="O118" s="244">
        <v>2546</v>
      </c>
      <c r="P118" s="244">
        <v>2546</v>
      </c>
      <c r="Q118" s="101" t="b">
        <f t="shared" si="13"/>
        <v>1</v>
      </c>
      <c r="R118" s="101" t="b">
        <f t="shared" si="14"/>
        <v>1</v>
      </c>
      <c r="S118" s="101" t="b">
        <f t="shared" si="15"/>
        <v>1</v>
      </c>
      <c r="T118" s="167">
        <f t="shared" si="16"/>
        <v>0</v>
      </c>
      <c r="U118" s="167">
        <f t="shared" si="17"/>
        <v>0</v>
      </c>
      <c r="V118" s="167">
        <f t="shared" si="18"/>
        <v>0</v>
      </c>
    </row>
    <row r="119" spans="1:22" s="90" customFormat="1" ht="20.100000000000001" customHeight="1">
      <c r="A119" s="347"/>
      <c r="B119" s="178" t="s">
        <v>145</v>
      </c>
      <c r="C119" s="238" t="s">
        <v>370</v>
      </c>
      <c r="D119" s="239" t="s">
        <v>153</v>
      </c>
      <c r="E119" s="244">
        <f>'Вед-я стр-ра'!H681</f>
        <v>3176.94</v>
      </c>
      <c r="F119" s="244">
        <f>'Вед-я стр-ра'!I681</f>
        <v>3268.47</v>
      </c>
      <c r="G119" s="244">
        <f>'Вед-я стр-ра'!J681</f>
        <v>3264.01</v>
      </c>
      <c r="H119" s="244">
        <v>3176.94</v>
      </c>
      <c r="I119" s="244">
        <v>3268.47</v>
      </c>
      <c r="J119" s="244">
        <v>3264.01</v>
      </c>
      <c r="K119" s="178" t="s">
        <v>145</v>
      </c>
      <c r="L119" s="238" t="s">
        <v>370</v>
      </c>
      <c r="M119" s="239" t="s">
        <v>153</v>
      </c>
      <c r="N119" s="244">
        <v>3176.94</v>
      </c>
      <c r="O119" s="244">
        <v>3268.47</v>
      </c>
      <c r="P119" s="244">
        <v>3264.01</v>
      </c>
      <c r="Q119" s="101" t="b">
        <f t="shared" ref="Q119:Q182" si="34">B119=K119</f>
        <v>1</v>
      </c>
      <c r="R119" s="101" t="b">
        <f t="shared" ref="R119:R182" si="35">C119=L119</f>
        <v>1</v>
      </c>
      <c r="S119" s="101" t="b">
        <f t="shared" ref="S119:S182" si="36">D119=M119</f>
        <v>1</v>
      </c>
      <c r="T119" s="167">
        <f t="shared" ref="T119:T182" si="37">E119-N119</f>
        <v>0</v>
      </c>
      <c r="U119" s="167">
        <f t="shared" ref="U119:U182" si="38">F119-O119</f>
        <v>0</v>
      </c>
      <c r="V119" s="167">
        <f t="shared" ref="V119:V182" si="39">G119-P119</f>
        <v>0</v>
      </c>
    </row>
    <row r="120" spans="1:22" s="90" customFormat="1" ht="20.100000000000001" customHeight="1">
      <c r="A120" s="347"/>
      <c r="B120" s="46" t="s">
        <v>147</v>
      </c>
      <c r="C120" s="238" t="s">
        <v>370</v>
      </c>
      <c r="D120" s="239" t="s">
        <v>154</v>
      </c>
      <c r="E120" s="244">
        <f>'Вед-я стр-ра'!H682</f>
        <v>387750</v>
      </c>
      <c r="F120" s="244">
        <f>'Вед-я стр-ра'!I682</f>
        <v>387664</v>
      </c>
      <c r="G120" s="244">
        <f>'Вед-я стр-ра'!J682</f>
        <v>387620.01</v>
      </c>
      <c r="H120" s="244">
        <v>387750</v>
      </c>
      <c r="I120" s="244">
        <v>387664</v>
      </c>
      <c r="J120" s="244">
        <v>387620</v>
      </c>
      <c r="K120" s="46" t="s">
        <v>147</v>
      </c>
      <c r="L120" s="238" t="s">
        <v>370</v>
      </c>
      <c r="M120" s="239" t="s">
        <v>154</v>
      </c>
      <c r="N120" s="244">
        <v>387750</v>
      </c>
      <c r="O120" s="244">
        <v>387664</v>
      </c>
      <c r="P120" s="244">
        <v>387620</v>
      </c>
      <c r="Q120" s="101" t="b">
        <f t="shared" si="34"/>
        <v>1</v>
      </c>
      <c r="R120" s="101" t="b">
        <f t="shared" si="35"/>
        <v>1</v>
      </c>
      <c r="S120" s="101" t="b">
        <f t="shared" si="36"/>
        <v>1</v>
      </c>
      <c r="T120" s="167">
        <f t="shared" si="37"/>
        <v>0</v>
      </c>
      <c r="U120" s="167">
        <f t="shared" si="38"/>
        <v>0</v>
      </c>
      <c r="V120" s="167">
        <f t="shared" si="39"/>
        <v>1.0000000009313226E-2</v>
      </c>
    </row>
    <row r="121" spans="1:22" s="90" customFormat="1" ht="20.100000000000001" customHeight="1">
      <c r="A121" s="347"/>
      <c r="B121" s="48" t="s">
        <v>941</v>
      </c>
      <c r="C121" s="238" t="s">
        <v>371</v>
      </c>
      <c r="D121" s="239" t="s">
        <v>90</v>
      </c>
      <c r="E121" s="244">
        <f>E122</f>
        <v>9501.11</v>
      </c>
      <c r="F121" s="244">
        <f>F122</f>
        <v>9501.11</v>
      </c>
      <c r="G121" s="244">
        <f>G122</f>
        <v>9501.11</v>
      </c>
      <c r="H121" s="244">
        <v>9501.11</v>
      </c>
      <c r="I121" s="244">
        <v>9501.11</v>
      </c>
      <c r="J121" s="244">
        <v>9501.11</v>
      </c>
      <c r="K121" s="48" t="s">
        <v>941</v>
      </c>
      <c r="L121" s="238" t="s">
        <v>371</v>
      </c>
      <c r="M121" s="239" t="s">
        <v>90</v>
      </c>
      <c r="N121" s="244">
        <v>9501.11</v>
      </c>
      <c r="O121" s="244">
        <v>9501.11</v>
      </c>
      <c r="P121" s="244">
        <v>9501.11</v>
      </c>
      <c r="Q121" s="101" t="b">
        <f t="shared" si="34"/>
        <v>1</v>
      </c>
      <c r="R121" s="101" t="b">
        <f t="shared" si="35"/>
        <v>1</v>
      </c>
      <c r="S121" s="101" t="b">
        <f t="shared" si="36"/>
        <v>1</v>
      </c>
      <c r="T121" s="167">
        <f t="shared" si="37"/>
        <v>0</v>
      </c>
      <c r="U121" s="167">
        <f t="shared" si="38"/>
        <v>0</v>
      </c>
      <c r="V121" s="167">
        <f t="shared" si="39"/>
        <v>0</v>
      </c>
    </row>
    <row r="122" spans="1:22" s="90" customFormat="1" ht="20.100000000000001" customHeight="1">
      <c r="A122" s="347"/>
      <c r="B122" s="178" t="s">
        <v>147</v>
      </c>
      <c r="C122" s="238" t="s">
        <v>371</v>
      </c>
      <c r="D122" s="239" t="s">
        <v>154</v>
      </c>
      <c r="E122" s="244">
        <f>'Вед-я стр-ра'!H684</f>
        <v>9501.11</v>
      </c>
      <c r="F122" s="244">
        <f>'Вед-я стр-ра'!I684</f>
        <v>9501.11</v>
      </c>
      <c r="G122" s="244">
        <f>'Вед-я стр-ра'!J684</f>
        <v>9501.11</v>
      </c>
      <c r="H122" s="244">
        <v>9501.11</v>
      </c>
      <c r="I122" s="244">
        <v>9501.11</v>
      </c>
      <c r="J122" s="244">
        <v>9501.11</v>
      </c>
      <c r="K122" s="178" t="s">
        <v>147</v>
      </c>
      <c r="L122" s="238" t="s">
        <v>371</v>
      </c>
      <c r="M122" s="239" t="s">
        <v>154</v>
      </c>
      <c r="N122" s="244">
        <v>9501.11</v>
      </c>
      <c r="O122" s="244">
        <v>9501.11</v>
      </c>
      <c r="P122" s="244">
        <v>9501.11</v>
      </c>
      <c r="Q122" s="101" t="b">
        <f t="shared" si="34"/>
        <v>1</v>
      </c>
      <c r="R122" s="101" t="b">
        <f t="shared" si="35"/>
        <v>1</v>
      </c>
      <c r="S122" s="101" t="b">
        <f t="shared" si="36"/>
        <v>1</v>
      </c>
      <c r="T122" s="167">
        <f t="shared" si="37"/>
        <v>0</v>
      </c>
      <c r="U122" s="167">
        <f t="shared" si="38"/>
        <v>0</v>
      </c>
      <c r="V122" s="167">
        <f t="shared" si="39"/>
        <v>0</v>
      </c>
    </row>
    <row r="123" spans="1:22" s="90" customFormat="1" ht="20.100000000000001" customHeight="1">
      <c r="A123" s="347"/>
      <c r="B123" s="178" t="s">
        <v>942</v>
      </c>
      <c r="C123" s="238" t="s">
        <v>807</v>
      </c>
      <c r="D123" s="37" t="s">
        <v>90</v>
      </c>
      <c r="E123" s="244">
        <f>E124+E125</f>
        <v>11042.93</v>
      </c>
      <c r="F123" s="244">
        <f>F124+F125</f>
        <v>11042.93</v>
      </c>
      <c r="G123" s="244">
        <f>G124+G125</f>
        <v>10936.35</v>
      </c>
      <c r="H123" s="244">
        <v>11042.93</v>
      </c>
      <c r="I123" s="244">
        <v>11042.93</v>
      </c>
      <c r="J123" s="244">
        <v>10936.35</v>
      </c>
      <c r="K123" s="178" t="s">
        <v>942</v>
      </c>
      <c r="L123" s="238" t="s">
        <v>807</v>
      </c>
      <c r="M123" s="37" t="s">
        <v>90</v>
      </c>
      <c r="N123" s="244">
        <v>11042.93</v>
      </c>
      <c r="O123" s="244">
        <v>11042.93</v>
      </c>
      <c r="P123" s="244">
        <v>10936.35</v>
      </c>
      <c r="Q123" s="101" t="b">
        <f t="shared" si="34"/>
        <v>1</v>
      </c>
      <c r="R123" s="101" t="b">
        <f t="shared" si="35"/>
        <v>1</v>
      </c>
      <c r="S123" s="101" t="b">
        <f t="shared" si="36"/>
        <v>1</v>
      </c>
      <c r="T123" s="167">
        <f t="shared" si="37"/>
        <v>0</v>
      </c>
      <c r="U123" s="167">
        <f t="shared" si="38"/>
        <v>0</v>
      </c>
      <c r="V123" s="167">
        <f t="shared" si="39"/>
        <v>0</v>
      </c>
    </row>
    <row r="124" spans="1:22" s="90" customFormat="1" ht="20.100000000000001" customHeight="1">
      <c r="A124" s="347"/>
      <c r="B124" s="23" t="s">
        <v>145</v>
      </c>
      <c r="C124" s="238" t="s">
        <v>830</v>
      </c>
      <c r="D124" s="37" t="s">
        <v>153</v>
      </c>
      <c r="E124" s="244">
        <f>'Вед-я стр-ра'!H686</f>
        <v>108.93</v>
      </c>
      <c r="F124" s="244">
        <f>'Вед-я стр-ра'!I686</f>
        <v>107.93</v>
      </c>
      <c r="G124" s="244">
        <f>'Вед-я стр-ра'!J686</f>
        <v>106.35</v>
      </c>
      <c r="H124" s="244">
        <v>108.93</v>
      </c>
      <c r="I124" s="244">
        <v>107.93</v>
      </c>
      <c r="J124" s="244">
        <v>106.35</v>
      </c>
      <c r="K124" s="23" t="s">
        <v>145</v>
      </c>
      <c r="L124" s="238" t="s">
        <v>830</v>
      </c>
      <c r="M124" s="37" t="s">
        <v>153</v>
      </c>
      <c r="N124" s="244">
        <v>108.93</v>
      </c>
      <c r="O124" s="244">
        <v>107.93</v>
      </c>
      <c r="P124" s="244">
        <v>106.35</v>
      </c>
      <c r="Q124" s="101" t="b">
        <f t="shared" si="34"/>
        <v>1</v>
      </c>
      <c r="R124" s="101" t="b">
        <f t="shared" si="35"/>
        <v>1</v>
      </c>
      <c r="S124" s="101" t="b">
        <f t="shared" si="36"/>
        <v>1</v>
      </c>
      <c r="T124" s="167">
        <f t="shared" si="37"/>
        <v>0</v>
      </c>
      <c r="U124" s="167">
        <f t="shared" si="38"/>
        <v>0</v>
      </c>
      <c r="V124" s="167">
        <f t="shared" si="39"/>
        <v>0</v>
      </c>
    </row>
    <row r="125" spans="1:22" s="90" customFormat="1" ht="20.100000000000001" customHeight="1">
      <c r="A125" s="347"/>
      <c r="B125" s="46" t="s">
        <v>147</v>
      </c>
      <c r="C125" s="238" t="s">
        <v>807</v>
      </c>
      <c r="D125" s="239" t="s">
        <v>154</v>
      </c>
      <c r="E125" s="244">
        <f>'Вед-я стр-ра'!H687</f>
        <v>10934</v>
      </c>
      <c r="F125" s="244">
        <f>'Вед-я стр-ра'!I687</f>
        <v>10935</v>
      </c>
      <c r="G125" s="244">
        <f>'Вед-я стр-ра'!J687</f>
        <v>10830</v>
      </c>
      <c r="H125" s="244">
        <v>10934</v>
      </c>
      <c r="I125" s="244">
        <v>10935</v>
      </c>
      <c r="J125" s="244">
        <v>10830</v>
      </c>
      <c r="K125" s="46" t="s">
        <v>147</v>
      </c>
      <c r="L125" s="238" t="s">
        <v>807</v>
      </c>
      <c r="M125" s="239" t="s">
        <v>154</v>
      </c>
      <c r="N125" s="244">
        <v>10934</v>
      </c>
      <c r="O125" s="244">
        <v>10935</v>
      </c>
      <c r="P125" s="244">
        <v>10830</v>
      </c>
      <c r="Q125" s="101" t="b">
        <f t="shared" si="34"/>
        <v>1</v>
      </c>
      <c r="R125" s="101" t="b">
        <f t="shared" si="35"/>
        <v>1</v>
      </c>
      <c r="S125" s="101" t="b">
        <f t="shared" si="36"/>
        <v>1</v>
      </c>
      <c r="T125" s="167">
        <f t="shared" si="37"/>
        <v>0</v>
      </c>
      <c r="U125" s="167">
        <f t="shared" si="38"/>
        <v>0</v>
      </c>
      <c r="V125" s="167">
        <f t="shared" si="39"/>
        <v>0</v>
      </c>
    </row>
    <row r="126" spans="1:22" s="90" customFormat="1" ht="140.25">
      <c r="A126" s="347"/>
      <c r="B126" s="178" t="str">
        <f>'Вед-я стр-ра'!B688</f>
        <v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 не достигшим совершеннолетия на 3 сентября 1945 года и постоянно проживающим на территории Ставропольского края</v>
      </c>
      <c r="C126" s="239" t="str">
        <f>'Вед-я стр-ра'!F688</f>
        <v>03 1 01 77820</v>
      </c>
      <c r="D126" s="37" t="s">
        <v>90</v>
      </c>
      <c r="E126" s="244">
        <f>E127+E128</f>
        <v>112943.58</v>
      </c>
      <c r="F126" s="244">
        <f>F127+F128</f>
        <v>106774.31</v>
      </c>
      <c r="G126" s="244">
        <f>G127+G128</f>
        <v>100551.03999999999</v>
      </c>
      <c r="H126" s="244">
        <v>112943.58</v>
      </c>
      <c r="I126" s="244">
        <v>106774.31</v>
      </c>
      <c r="J126" s="244">
        <v>100551.03999999999</v>
      </c>
      <c r="K126" s="178" t="s">
        <v>1087</v>
      </c>
      <c r="L126" s="239" t="s">
        <v>885</v>
      </c>
      <c r="M126" s="37" t="s">
        <v>90</v>
      </c>
      <c r="N126" s="244">
        <v>112943.58</v>
      </c>
      <c r="O126" s="244">
        <v>106774.31</v>
      </c>
      <c r="P126" s="244">
        <v>100551.03999999999</v>
      </c>
      <c r="Q126" s="101" t="b">
        <f t="shared" si="34"/>
        <v>1</v>
      </c>
      <c r="R126" s="101" t="b">
        <f t="shared" si="35"/>
        <v>1</v>
      </c>
      <c r="S126" s="101" t="b">
        <f t="shared" si="36"/>
        <v>1</v>
      </c>
      <c r="T126" s="167">
        <f t="shared" si="37"/>
        <v>0</v>
      </c>
      <c r="U126" s="167">
        <f t="shared" si="38"/>
        <v>0</v>
      </c>
      <c r="V126" s="167">
        <f t="shared" si="39"/>
        <v>0</v>
      </c>
    </row>
    <row r="127" spans="1:22" s="90" customFormat="1" ht="20.100000000000001" customHeight="1">
      <c r="A127" s="347"/>
      <c r="B127" s="46" t="str">
        <f>'Вед-я стр-ра'!B689</f>
        <v>Иные закупки товаров, работ и услуг для обеспечения государственных (муниципальных) нужд</v>
      </c>
      <c r="C127" s="239" t="str">
        <f>'Вед-я стр-ра'!F689</f>
        <v>03 1 01 77820</v>
      </c>
      <c r="D127" s="239" t="s">
        <v>153</v>
      </c>
      <c r="E127" s="244">
        <f>'Вед-я стр-ра'!H689</f>
        <v>500.58</v>
      </c>
      <c r="F127" s="244">
        <f>'Вед-я стр-ра'!I689</f>
        <v>460.31</v>
      </c>
      <c r="G127" s="244">
        <f>'Вед-я стр-ра'!J689</f>
        <v>451.04</v>
      </c>
      <c r="H127" s="244">
        <v>500.58</v>
      </c>
      <c r="I127" s="244">
        <v>460.31</v>
      </c>
      <c r="J127" s="244">
        <v>451.04</v>
      </c>
      <c r="K127" s="46" t="s">
        <v>145</v>
      </c>
      <c r="L127" s="239" t="s">
        <v>885</v>
      </c>
      <c r="M127" s="239" t="s">
        <v>153</v>
      </c>
      <c r="N127" s="244">
        <v>500.58</v>
      </c>
      <c r="O127" s="244">
        <v>460.31</v>
      </c>
      <c r="P127" s="244">
        <v>451.04</v>
      </c>
      <c r="Q127" s="101" t="b">
        <f t="shared" si="34"/>
        <v>1</v>
      </c>
      <c r="R127" s="101" t="b">
        <f t="shared" si="35"/>
        <v>1</v>
      </c>
      <c r="S127" s="101" t="b">
        <f t="shared" si="36"/>
        <v>1</v>
      </c>
      <c r="T127" s="167">
        <f t="shared" si="37"/>
        <v>0</v>
      </c>
      <c r="U127" s="167">
        <f t="shared" si="38"/>
        <v>0</v>
      </c>
      <c r="V127" s="167">
        <f t="shared" si="39"/>
        <v>0</v>
      </c>
    </row>
    <row r="128" spans="1:22" s="90" customFormat="1" ht="20.100000000000001" customHeight="1">
      <c r="A128" s="347"/>
      <c r="B128" s="46" t="str">
        <f>'Вед-я стр-ра'!B690</f>
        <v>Публичные нормативные социальные выплаты гражданам</v>
      </c>
      <c r="C128" s="239" t="str">
        <f>'Вед-я стр-ра'!F690</f>
        <v>03 1 01 77820</v>
      </c>
      <c r="D128" s="239" t="s">
        <v>169</v>
      </c>
      <c r="E128" s="244">
        <f>'Вед-я стр-ра'!H690</f>
        <v>112443</v>
      </c>
      <c r="F128" s="244">
        <f>'Вед-я стр-ра'!I690</f>
        <v>106314</v>
      </c>
      <c r="G128" s="244">
        <f>'Вед-я стр-ра'!J690</f>
        <v>100100</v>
      </c>
      <c r="H128" s="244">
        <v>112443</v>
      </c>
      <c r="I128" s="244">
        <v>106314</v>
      </c>
      <c r="J128" s="244">
        <v>100100</v>
      </c>
      <c r="K128" s="46" t="s">
        <v>146</v>
      </c>
      <c r="L128" s="239" t="s">
        <v>885</v>
      </c>
      <c r="M128" s="239" t="s">
        <v>169</v>
      </c>
      <c r="N128" s="244">
        <v>112443</v>
      </c>
      <c r="O128" s="244">
        <v>106314</v>
      </c>
      <c r="P128" s="244">
        <v>100100</v>
      </c>
      <c r="Q128" s="101" t="b">
        <f t="shared" si="34"/>
        <v>1</v>
      </c>
      <c r="R128" s="101" t="b">
        <f t="shared" si="35"/>
        <v>1</v>
      </c>
      <c r="S128" s="101" t="b">
        <f t="shared" si="36"/>
        <v>1</v>
      </c>
      <c r="T128" s="167">
        <f t="shared" si="37"/>
        <v>0</v>
      </c>
      <c r="U128" s="167">
        <f t="shared" si="38"/>
        <v>0</v>
      </c>
      <c r="V128" s="167">
        <f t="shared" si="39"/>
        <v>0</v>
      </c>
    </row>
    <row r="129" spans="1:22" s="90" customFormat="1" ht="20.100000000000001" customHeight="1">
      <c r="A129" s="347"/>
      <c r="B129" s="178" t="s">
        <v>943</v>
      </c>
      <c r="C129" s="238" t="s">
        <v>693</v>
      </c>
      <c r="D129" s="239" t="s">
        <v>90</v>
      </c>
      <c r="E129" s="244">
        <f>SUM(E130:E131)</f>
        <v>422326.44</v>
      </c>
      <c r="F129" s="244">
        <f>SUM(F130:F131)</f>
        <v>400000</v>
      </c>
      <c r="G129" s="244">
        <f>SUM(G130:G131)</f>
        <v>400000</v>
      </c>
      <c r="H129" s="244">
        <v>400000</v>
      </c>
      <c r="I129" s="244">
        <v>400000</v>
      </c>
      <c r="J129" s="244">
        <v>400000</v>
      </c>
      <c r="K129" s="178" t="s">
        <v>943</v>
      </c>
      <c r="L129" s="238" t="s">
        <v>693</v>
      </c>
      <c r="M129" s="239" t="s">
        <v>90</v>
      </c>
      <c r="N129" s="244">
        <v>400000</v>
      </c>
      <c r="O129" s="244">
        <v>400000</v>
      </c>
      <c r="P129" s="244">
        <v>400000</v>
      </c>
      <c r="Q129" s="101" t="b">
        <f t="shared" si="34"/>
        <v>1</v>
      </c>
      <c r="R129" s="101" t="b">
        <f t="shared" si="35"/>
        <v>1</v>
      </c>
      <c r="S129" s="101" t="b">
        <f t="shared" si="36"/>
        <v>1</v>
      </c>
      <c r="T129" s="167">
        <f t="shared" si="37"/>
        <v>22326.440000000002</v>
      </c>
      <c r="U129" s="167">
        <f t="shared" si="38"/>
        <v>0</v>
      </c>
      <c r="V129" s="167">
        <f t="shared" si="39"/>
        <v>0</v>
      </c>
    </row>
    <row r="130" spans="1:22" s="90" customFormat="1" ht="20.100000000000001" customHeight="1">
      <c r="A130" s="347"/>
      <c r="B130" s="180" t="s">
        <v>145</v>
      </c>
      <c r="C130" s="238" t="s">
        <v>693</v>
      </c>
      <c r="D130" s="239" t="s">
        <v>153</v>
      </c>
      <c r="E130" s="244">
        <f>'Вед-я стр-ра'!H692</f>
        <v>5600</v>
      </c>
      <c r="F130" s="244">
        <f>'Вед-я стр-ра'!I692</f>
        <v>5000</v>
      </c>
      <c r="G130" s="244">
        <f>'Вед-я стр-ра'!J692</f>
        <v>5000</v>
      </c>
      <c r="H130" s="244">
        <v>5000</v>
      </c>
      <c r="I130" s="244">
        <v>5000</v>
      </c>
      <c r="J130" s="244">
        <v>5000</v>
      </c>
      <c r="K130" s="180" t="s">
        <v>145</v>
      </c>
      <c r="L130" s="238" t="s">
        <v>693</v>
      </c>
      <c r="M130" s="239" t="s">
        <v>153</v>
      </c>
      <c r="N130" s="244">
        <v>5000</v>
      </c>
      <c r="O130" s="244">
        <v>5000</v>
      </c>
      <c r="P130" s="244">
        <v>5000</v>
      </c>
      <c r="Q130" s="101" t="b">
        <f t="shared" si="34"/>
        <v>1</v>
      </c>
      <c r="R130" s="101" t="b">
        <f t="shared" si="35"/>
        <v>1</v>
      </c>
      <c r="S130" s="101" t="b">
        <f t="shared" si="36"/>
        <v>1</v>
      </c>
      <c r="T130" s="167">
        <f t="shared" si="37"/>
        <v>600</v>
      </c>
      <c r="U130" s="167">
        <f t="shared" si="38"/>
        <v>0</v>
      </c>
      <c r="V130" s="167">
        <f t="shared" si="39"/>
        <v>0</v>
      </c>
    </row>
    <row r="131" spans="1:22" s="90" customFormat="1" ht="20.100000000000001" customHeight="1">
      <c r="A131" s="347"/>
      <c r="B131" s="180" t="s">
        <v>146</v>
      </c>
      <c r="C131" s="238" t="s">
        <v>693</v>
      </c>
      <c r="D131" s="239" t="s">
        <v>169</v>
      </c>
      <c r="E131" s="244">
        <f>'Вед-я стр-ра'!H693</f>
        <v>416726.44</v>
      </c>
      <c r="F131" s="244">
        <f>'Вед-я стр-ра'!I693</f>
        <v>395000</v>
      </c>
      <c r="G131" s="244">
        <f>'Вед-я стр-ра'!J693</f>
        <v>395000</v>
      </c>
      <c r="H131" s="244">
        <v>395000</v>
      </c>
      <c r="I131" s="244">
        <v>395000</v>
      </c>
      <c r="J131" s="244">
        <v>395000</v>
      </c>
      <c r="K131" s="180" t="s">
        <v>146</v>
      </c>
      <c r="L131" s="238" t="s">
        <v>693</v>
      </c>
      <c r="M131" s="239" t="s">
        <v>169</v>
      </c>
      <c r="N131" s="244">
        <v>395000</v>
      </c>
      <c r="O131" s="244">
        <v>395000</v>
      </c>
      <c r="P131" s="244">
        <v>395000</v>
      </c>
      <c r="Q131" s="101" t="b">
        <f t="shared" si="34"/>
        <v>1</v>
      </c>
      <c r="R131" s="101" t="b">
        <f t="shared" si="35"/>
        <v>1</v>
      </c>
      <c r="S131" s="101" t="b">
        <f t="shared" si="36"/>
        <v>1</v>
      </c>
      <c r="T131" s="167">
        <f t="shared" si="37"/>
        <v>21726.440000000002</v>
      </c>
      <c r="U131" s="167">
        <f t="shared" si="38"/>
        <v>0</v>
      </c>
      <c r="V131" s="167">
        <f t="shared" si="39"/>
        <v>0</v>
      </c>
    </row>
    <row r="132" spans="1:22" s="90" customFormat="1" ht="20.100000000000001" customHeight="1">
      <c r="A132" s="347"/>
      <c r="B132" s="180" t="s">
        <v>944</v>
      </c>
      <c r="C132" s="238" t="s">
        <v>694</v>
      </c>
      <c r="D132" s="239" t="s">
        <v>90</v>
      </c>
      <c r="E132" s="244">
        <f>SUM(E133:E134)</f>
        <v>312060</v>
      </c>
      <c r="F132" s="244">
        <f>SUM(F133:F134)</f>
        <v>296000</v>
      </c>
      <c r="G132" s="244">
        <f>SUM(G133:G134)</f>
        <v>296000</v>
      </c>
      <c r="H132" s="244">
        <v>296000</v>
      </c>
      <c r="I132" s="244">
        <v>296000</v>
      </c>
      <c r="J132" s="244">
        <v>296000</v>
      </c>
      <c r="K132" s="180" t="s">
        <v>944</v>
      </c>
      <c r="L132" s="238" t="s">
        <v>694</v>
      </c>
      <c r="M132" s="239" t="s">
        <v>90</v>
      </c>
      <c r="N132" s="244">
        <v>296000</v>
      </c>
      <c r="O132" s="244">
        <v>296000</v>
      </c>
      <c r="P132" s="244">
        <v>296000</v>
      </c>
      <c r="Q132" s="101" t="b">
        <f t="shared" si="34"/>
        <v>1</v>
      </c>
      <c r="R132" s="101" t="b">
        <f t="shared" si="35"/>
        <v>1</v>
      </c>
      <c r="S132" s="101" t="b">
        <f t="shared" si="36"/>
        <v>1</v>
      </c>
      <c r="T132" s="167">
        <f t="shared" si="37"/>
        <v>16060</v>
      </c>
      <c r="U132" s="167">
        <f t="shared" si="38"/>
        <v>0</v>
      </c>
      <c r="V132" s="167">
        <f t="shared" si="39"/>
        <v>0</v>
      </c>
    </row>
    <row r="133" spans="1:22" s="90" customFormat="1" ht="20.100000000000001" customHeight="1">
      <c r="A133" s="347"/>
      <c r="B133" s="180" t="s">
        <v>145</v>
      </c>
      <c r="C133" s="238" t="s">
        <v>694</v>
      </c>
      <c r="D133" s="239" t="s">
        <v>153</v>
      </c>
      <c r="E133" s="244">
        <f>'Вед-я стр-ра'!H695</f>
        <v>4000</v>
      </c>
      <c r="F133" s="244">
        <f>'Вед-я стр-ра'!I695</f>
        <v>4000</v>
      </c>
      <c r="G133" s="244">
        <f>'Вед-я стр-ра'!J695</f>
        <v>4000</v>
      </c>
      <c r="H133" s="244">
        <v>4000</v>
      </c>
      <c r="I133" s="244">
        <v>4000</v>
      </c>
      <c r="J133" s="244">
        <v>4000</v>
      </c>
      <c r="K133" s="180" t="s">
        <v>145</v>
      </c>
      <c r="L133" s="238" t="s">
        <v>694</v>
      </c>
      <c r="M133" s="239" t="s">
        <v>153</v>
      </c>
      <c r="N133" s="244">
        <v>4000</v>
      </c>
      <c r="O133" s="244">
        <v>4000</v>
      </c>
      <c r="P133" s="244">
        <v>4000</v>
      </c>
      <c r="Q133" s="101" t="b">
        <f t="shared" si="34"/>
        <v>1</v>
      </c>
      <c r="R133" s="101" t="b">
        <f t="shared" si="35"/>
        <v>1</v>
      </c>
      <c r="S133" s="101" t="b">
        <f t="shared" si="36"/>
        <v>1</v>
      </c>
      <c r="T133" s="167">
        <f t="shared" si="37"/>
        <v>0</v>
      </c>
      <c r="U133" s="167">
        <f t="shared" si="38"/>
        <v>0</v>
      </c>
      <c r="V133" s="167">
        <f t="shared" si="39"/>
        <v>0</v>
      </c>
    </row>
    <row r="134" spans="1:22" s="90" customFormat="1" ht="20.100000000000001" customHeight="1">
      <c r="A134" s="347"/>
      <c r="B134" s="180" t="s">
        <v>146</v>
      </c>
      <c r="C134" s="238" t="s">
        <v>694</v>
      </c>
      <c r="D134" s="239" t="s">
        <v>169</v>
      </c>
      <c r="E134" s="244">
        <f>'Вед-я стр-ра'!H696</f>
        <v>308060</v>
      </c>
      <c r="F134" s="244">
        <f>'Вед-я стр-ра'!I696</f>
        <v>292000</v>
      </c>
      <c r="G134" s="244">
        <f>'Вед-я стр-ра'!J696</f>
        <v>292000</v>
      </c>
      <c r="H134" s="244">
        <v>292000</v>
      </c>
      <c r="I134" s="244">
        <v>292000</v>
      </c>
      <c r="J134" s="244">
        <v>292000</v>
      </c>
      <c r="K134" s="180" t="s">
        <v>146</v>
      </c>
      <c r="L134" s="238" t="s">
        <v>694</v>
      </c>
      <c r="M134" s="239" t="s">
        <v>169</v>
      </c>
      <c r="N134" s="244">
        <v>292000</v>
      </c>
      <c r="O134" s="244">
        <v>292000</v>
      </c>
      <c r="P134" s="244">
        <v>292000</v>
      </c>
      <c r="Q134" s="101" t="b">
        <f t="shared" si="34"/>
        <v>1</v>
      </c>
      <c r="R134" s="101" t="b">
        <f t="shared" si="35"/>
        <v>1</v>
      </c>
      <c r="S134" s="101" t="b">
        <f t="shared" si="36"/>
        <v>1</v>
      </c>
      <c r="T134" s="167">
        <f t="shared" si="37"/>
        <v>16060</v>
      </c>
      <c r="U134" s="167">
        <f t="shared" si="38"/>
        <v>0</v>
      </c>
      <c r="V134" s="167">
        <f t="shared" si="39"/>
        <v>0</v>
      </c>
    </row>
    <row r="135" spans="1:22" s="90" customFormat="1" ht="20.100000000000001" customHeight="1">
      <c r="A135" s="347"/>
      <c r="B135" s="180" t="s">
        <v>945</v>
      </c>
      <c r="C135" s="238" t="s">
        <v>695</v>
      </c>
      <c r="D135" s="239" t="s">
        <v>90</v>
      </c>
      <c r="E135" s="244">
        <f>SUM(E136:E137)</f>
        <v>6496.02</v>
      </c>
      <c r="F135" s="244">
        <f>SUM(F136:F137)</f>
        <v>6452</v>
      </c>
      <c r="G135" s="244">
        <f>SUM(G136:G137)</f>
        <v>6452</v>
      </c>
      <c r="H135" s="244">
        <v>6452</v>
      </c>
      <c r="I135" s="244">
        <v>6452</v>
      </c>
      <c r="J135" s="244">
        <v>6452</v>
      </c>
      <c r="K135" s="180" t="s">
        <v>945</v>
      </c>
      <c r="L135" s="238" t="s">
        <v>695</v>
      </c>
      <c r="M135" s="239" t="s">
        <v>90</v>
      </c>
      <c r="N135" s="244">
        <v>6452</v>
      </c>
      <c r="O135" s="244">
        <v>6452</v>
      </c>
      <c r="P135" s="244">
        <v>6452</v>
      </c>
      <c r="Q135" s="101" t="b">
        <f t="shared" si="34"/>
        <v>1</v>
      </c>
      <c r="R135" s="101" t="b">
        <f t="shared" si="35"/>
        <v>1</v>
      </c>
      <c r="S135" s="101" t="b">
        <f t="shared" si="36"/>
        <v>1</v>
      </c>
      <c r="T135" s="167">
        <f t="shared" si="37"/>
        <v>44.020000000000437</v>
      </c>
      <c r="U135" s="167">
        <f t="shared" si="38"/>
        <v>0</v>
      </c>
      <c r="V135" s="167">
        <f t="shared" si="39"/>
        <v>0</v>
      </c>
    </row>
    <row r="136" spans="1:22" s="90" customFormat="1" ht="20.100000000000001" customHeight="1">
      <c r="A136" s="347"/>
      <c r="B136" s="180" t="s">
        <v>145</v>
      </c>
      <c r="C136" s="238" t="s">
        <v>695</v>
      </c>
      <c r="D136" s="239" t="s">
        <v>153</v>
      </c>
      <c r="E136" s="244">
        <f>'Вед-я стр-ра'!H698</f>
        <v>80</v>
      </c>
      <c r="F136" s="244">
        <f>'Вед-я стр-ра'!I698</f>
        <v>80</v>
      </c>
      <c r="G136" s="244">
        <f>'Вед-я стр-ра'!J698</f>
        <v>80</v>
      </c>
      <c r="H136" s="244">
        <v>80</v>
      </c>
      <c r="I136" s="244">
        <v>80</v>
      </c>
      <c r="J136" s="244">
        <v>80</v>
      </c>
      <c r="K136" s="180" t="s">
        <v>145</v>
      </c>
      <c r="L136" s="238" t="s">
        <v>695</v>
      </c>
      <c r="M136" s="239" t="s">
        <v>153</v>
      </c>
      <c r="N136" s="244">
        <v>80</v>
      </c>
      <c r="O136" s="244">
        <v>80</v>
      </c>
      <c r="P136" s="244">
        <v>80</v>
      </c>
      <c r="Q136" s="101" t="b">
        <f t="shared" si="34"/>
        <v>1</v>
      </c>
      <c r="R136" s="101" t="b">
        <f t="shared" si="35"/>
        <v>1</v>
      </c>
      <c r="S136" s="101" t="b">
        <f t="shared" si="36"/>
        <v>1</v>
      </c>
      <c r="T136" s="167">
        <f t="shared" si="37"/>
        <v>0</v>
      </c>
      <c r="U136" s="167">
        <f t="shared" si="38"/>
        <v>0</v>
      </c>
      <c r="V136" s="167">
        <f t="shared" si="39"/>
        <v>0</v>
      </c>
    </row>
    <row r="137" spans="1:22" s="90" customFormat="1" ht="20.100000000000001" customHeight="1">
      <c r="A137" s="347"/>
      <c r="B137" s="180" t="s">
        <v>146</v>
      </c>
      <c r="C137" s="238" t="s">
        <v>695</v>
      </c>
      <c r="D137" s="239" t="s">
        <v>169</v>
      </c>
      <c r="E137" s="244">
        <f>'Вед-я стр-ра'!H699</f>
        <v>6416.02</v>
      </c>
      <c r="F137" s="244">
        <f>'Вед-я стр-ра'!I699</f>
        <v>6372</v>
      </c>
      <c r="G137" s="244">
        <f>'Вед-я стр-ра'!J699</f>
        <v>6372</v>
      </c>
      <c r="H137" s="244">
        <v>6372</v>
      </c>
      <c r="I137" s="244">
        <v>6372</v>
      </c>
      <c r="J137" s="244">
        <v>6372</v>
      </c>
      <c r="K137" s="180" t="s">
        <v>146</v>
      </c>
      <c r="L137" s="238" t="s">
        <v>695</v>
      </c>
      <c r="M137" s="239" t="s">
        <v>169</v>
      </c>
      <c r="N137" s="244">
        <v>6372</v>
      </c>
      <c r="O137" s="244">
        <v>6372</v>
      </c>
      <c r="P137" s="244">
        <v>6372</v>
      </c>
      <c r="Q137" s="101" t="b">
        <f t="shared" si="34"/>
        <v>1</v>
      </c>
      <c r="R137" s="101" t="b">
        <f t="shared" si="35"/>
        <v>1</v>
      </c>
      <c r="S137" s="101" t="b">
        <f t="shared" si="36"/>
        <v>1</v>
      </c>
      <c r="T137" s="167">
        <f t="shared" si="37"/>
        <v>44.020000000000437</v>
      </c>
      <c r="U137" s="167">
        <f t="shared" si="38"/>
        <v>0</v>
      </c>
      <c r="V137" s="167">
        <f t="shared" si="39"/>
        <v>0</v>
      </c>
    </row>
    <row r="138" spans="1:22" s="90" customFormat="1" ht="20.100000000000001" customHeight="1">
      <c r="A138" s="347"/>
      <c r="B138" s="180" t="s">
        <v>946</v>
      </c>
      <c r="C138" s="238" t="s">
        <v>696</v>
      </c>
      <c r="D138" s="239" t="s">
        <v>90</v>
      </c>
      <c r="E138" s="244">
        <f>E139+E140</f>
        <v>164.56</v>
      </c>
      <c r="F138" s="244">
        <f>F139+F140</f>
        <v>162.28</v>
      </c>
      <c r="G138" s="244">
        <f>G139+G140</f>
        <v>162.28</v>
      </c>
      <c r="H138" s="244">
        <v>156.03</v>
      </c>
      <c r="I138" s="244">
        <v>162.28</v>
      </c>
      <c r="J138" s="244">
        <v>162.28</v>
      </c>
      <c r="K138" s="180" t="s">
        <v>946</v>
      </c>
      <c r="L138" s="238" t="s">
        <v>696</v>
      </c>
      <c r="M138" s="239" t="s">
        <v>90</v>
      </c>
      <c r="N138" s="244">
        <v>156.03</v>
      </c>
      <c r="O138" s="244">
        <v>162.28</v>
      </c>
      <c r="P138" s="244">
        <v>162.28</v>
      </c>
      <c r="Q138" s="101" t="b">
        <f t="shared" si="34"/>
        <v>1</v>
      </c>
      <c r="R138" s="101" t="b">
        <f t="shared" si="35"/>
        <v>1</v>
      </c>
      <c r="S138" s="101" t="b">
        <f t="shared" si="36"/>
        <v>1</v>
      </c>
      <c r="T138" s="167">
        <f t="shared" si="37"/>
        <v>8.5300000000000011</v>
      </c>
      <c r="U138" s="167">
        <f t="shared" si="38"/>
        <v>0</v>
      </c>
      <c r="V138" s="167">
        <f t="shared" si="39"/>
        <v>0</v>
      </c>
    </row>
    <row r="139" spans="1:22" s="90" customFormat="1" ht="20.100000000000001" customHeight="1">
      <c r="A139" s="347"/>
      <c r="B139" s="180" t="s">
        <v>145</v>
      </c>
      <c r="C139" s="238" t="s">
        <v>696</v>
      </c>
      <c r="D139" s="239" t="s">
        <v>153</v>
      </c>
      <c r="E139" s="244">
        <f>'Вед-я стр-ра'!H701</f>
        <v>2.36</v>
      </c>
      <c r="F139" s="244">
        <f>'Вед-я стр-ра'!I701</f>
        <v>2.46</v>
      </c>
      <c r="G139" s="244">
        <f>'Вед-я стр-ра'!J701</f>
        <v>2.46</v>
      </c>
      <c r="H139" s="244">
        <v>2.36</v>
      </c>
      <c r="I139" s="244">
        <v>2.46</v>
      </c>
      <c r="J139" s="244">
        <v>2.46</v>
      </c>
      <c r="K139" s="180" t="s">
        <v>145</v>
      </c>
      <c r="L139" s="238" t="s">
        <v>696</v>
      </c>
      <c r="M139" s="239" t="s">
        <v>153</v>
      </c>
      <c r="N139" s="244">
        <v>2.36</v>
      </c>
      <c r="O139" s="244">
        <v>2.46</v>
      </c>
      <c r="P139" s="244">
        <v>2.46</v>
      </c>
      <c r="Q139" s="101" t="b">
        <f t="shared" si="34"/>
        <v>1</v>
      </c>
      <c r="R139" s="101" t="b">
        <f t="shared" si="35"/>
        <v>1</v>
      </c>
      <c r="S139" s="101" t="b">
        <f t="shared" si="36"/>
        <v>1</v>
      </c>
      <c r="T139" s="167">
        <f t="shared" si="37"/>
        <v>0</v>
      </c>
      <c r="U139" s="167">
        <f t="shared" si="38"/>
        <v>0</v>
      </c>
      <c r="V139" s="167">
        <f t="shared" si="39"/>
        <v>0</v>
      </c>
    </row>
    <row r="140" spans="1:22" s="90" customFormat="1" ht="20.100000000000001" customHeight="1">
      <c r="A140" s="347"/>
      <c r="B140" s="180" t="s">
        <v>146</v>
      </c>
      <c r="C140" s="238" t="s">
        <v>696</v>
      </c>
      <c r="D140" s="239" t="s">
        <v>169</v>
      </c>
      <c r="E140" s="244">
        <f>'Вед-я стр-ра'!H702</f>
        <v>162.19999999999999</v>
      </c>
      <c r="F140" s="244">
        <f>'Вед-я стр-ра'!I702</f>
        <v>159.82</v>
      </c>
      <c r="G140" s="244">
        <f>'Вед-я стр-ра'!J702</f>
        <v>159.82</v>
      </c>
      <c r="H140" s="244">
        <v>153.66999999999999</v>
      </c>
      <c r="I140" s="244">
        <v>159.82</v>
      </c>
      <c r="J140" s="244">
        <v>159.82</v>
      </c>
      <c r="K140" s="180" t="s">
        <v>146</v>
      </c>
      <c r="L140" s="238" t="s">
        <v>696</v>
      </c>
      <c r="M140" s="239" t="s">
        <v>169</v>
      </c>
      <c r="N140" s="244">
        <v>153.66999999999999</v>
      </c>
      <c r="O140" s="244">
        <v>159.82</v>
      </c>
      <c r="P140" s="244">
        <v>159.82</v>
      </c>
      <c r="Q140" s="101" t="b">
        <f t="shared" si="34"/>
        <v>1</v>
      </c>
      <c r="R140" s="101" t="b">
        <f t="shared" si="35"/>
        <v>1</v>
      </c>
      <c r="S140" s="101" t="b">
        <f t="shared" si="36"/>
        <v>1</v>
      </c>
      <c r="T140" s="167">
        <f t="shared" si="37"/>
        <v>8.5300000000000011</v>
      </c>
      <c r="U140" s="167">
        <f t="shared" si="38"/>
        <v>0</v>
      </c>
      <c r="V140" s="167">
        <f t="shared" si="39"/>
        <v>0</v>
      </c>
    </row>
    <row r="141" spans="1:22" s="90" customFormat="1" ht="20.100000000000001" customHeight="1">
      <c r="A141" s="347"/>
      <c r="B141" s="48" t="s">
        <v>1064</v>
      </c>
      <c r="C141" s="238" t="s">
        <v>697</v>
      </c>
      <c r="D141" s="239" t="s">
        <v>90</v>
      </c>
      <c r="E141" s="244">
        <f>E142+E143</f>
        <v>1317.5</v>
      </c>
      <c r="F141" s="244">
        <f>F142+F143</f>
        <v>1319.5</v>
      </c>
      <c r="G141" s="244">
        <f>G142+G143</f>
        <v>1319.5</v>
      </c>
      <c r="H141" s="244">
        <v>1319.5</v>
      </c>
      <c r="I141" s="244">
        <v>1319.5</v>
      </c>
      <c r="J141" s="244">
        <v>1319.5</v>
      </c>
      <c r="K141" s="48" t="s">
        <v>1064</v>
      </c>
      <c r="L141" s="238" t="s">
        <v>697</v>
      </c>
      <c r="M141" s="239" t="s">
        <v>90</v>
      </c>
      <c r="N141" s="244">
        <v>1319.5</v>
      </c>
      <c r="O141" s="244">
        <v>1319.5</v>
      </c>
      <c r="P141" s="244">
        <v>1319.5</v>
      </c>
      <c r="Q141" s="101" t="b">
        <f t="shared" si="34"/>
        <v>1</v>
      </c>
      <c r="R141" s="101" t="b">
        <f t="shared" si="35"/>
        <v>1</v>
      </c>
      <c r="S141" s="101" t="b">
        <f t="shared" si="36"/>
        <v>1</v>
      </c>
      <c r="T141" s="167">
        <f t="shared" si="37"/>
        <v>-2</v>
      </c>
      <c r="U141" s="167">
        <f t="shared" si="38"/>
        <v>0</v>
      </c>
      <c r="V141" s="167">
        <f t="shared" si="39"/>
        <v>0</v>
      </c>
    </row>
    <row r="142" spans="1:22" s="90" customFormat="1" ht="20.100000000000001" customHeight="1">
      <c r="A142" s="347"/>
      <c r="B142" s="180" t="s">
        <v>145</v>
      </c>
      <c r="C142" s="238" t="s">
        <v>697</v>
      </c>
      <c r="D142" s="239" t="s">
        <v>153</v>
      </c>
      <c r="E142" s="244">
        <f>'Вед-я стр-ра'!H704</f>
        <v>17.5</v>
      </c>
      <c r="F142" s="244">
        <f>'Вед-я стр-ра'!I704</f>
        <v>19.5</v>
      </c>
      <c r="G142" s="244">
        <f>'Вед-я стр-ра'!J704</f>
        <v>19.5</v>
      </c>
      <c r="H142" s="244">
        <v>19.5</v>
      </c>
      <c r="I142" s="244">
        <v>19.5</v>
      </c>
      <c r="J142" s="244">
        <v>19.5</v>
      </c>
      <c r="K142" s="180" t="s">
        <v>145</v>
      </c>
      <c r="L142" s="238" t="s">
        <v>697</v>
      </c>
      <c r="M142" s="239" t="s">
        <v>153</v>
      </c>
      <c r="N142" s="244">
        <v>19.5</v>
      </c>
      <c r="O142" s="244">
        <v>19.5</v>
      </c>
      <c r="P142" s="244">
        <v>19.5</v>
      </c>
      <c r="Q142" s="101" t="b">
        <f t="shared" si="34"/>
        <v>1</v>
      </c>
      <c r="R142" s="101" t="b">
        <f t="shared" si="35"/>
        <v>1</v>
      </c>
      <c r="S142" s="101" t="b">
        <f t="shared" si="36"/>
        <v>1</v>
      </c>
      <c r="T142" s="167">
        <f t="shared" si="37"/>
        <v>-2</v>
      </c>
      <c r="U142" s="167">
        <f t="shared" si="38"/>
        <v>0</v>
      </c>
      <c r="V142" s="167">
        <f t="shared" si="39"/>
        <v>0</v>
      </c>
    </row>
    <row r="143" spans="1:22" s="90" customFormat="1" ht="20.100000000000001" customHeight="1">
      <c r="A143" s="347"/>
      <c r="B143" s="180" t="s">
        <v>146</v>
      </c>
      <c r="C143" s="238" t="s">
        <v>697</v>
      </c>
      <c r="D143" s="239" t="s">
        <v>169</v>
      </c>
      <c r="E143" s="244">
        <f>'Вед-я стр-ра'!H705</f>
        <v>1300</v>
      </c>
      <c r="F143" s="244">
        <f>'Вед-я стр-ра'!I705</f>
        <v>1300</v>
      </c>
      <c r="G143" s="244">
        <f>'Вед-я стр-ра'!J705</f>
        <v>1300</v>
      </c>
      <c r="H143" s="244">
        <v>1300</v>
      </c>
      <c r="I143" s="244">
        <v>1300</v>
      </c>
      <c r="J143" s="244">
        <v>1300</v>
      </c>
      <c r="K143" s="180" t="s">
        <v>146</v>
      </c>
      <c r="L143" s="238" t="s">
        <v>697</v>
      </c>
      <c r="M143" s="239" t="s">
        <v>169</v>
      </c>
      <c r="N143" s="244">
        <v>1300</v>
      </c>
      <c r="O143" s="244">
        <v>1300</v>
      </c>
      <c r="P143" s="244">
        <v>1300</v>
      </c>
      <c r="Q143" s="101" t="b">
        <f t="shared" si="34"/>
        <v>1</v>
      </c>
      <c r="R143" s="101" t="b">
        <f t="shared" si="35"/>
        <v>1</v>
      </c>
      <c r="S143" s="101" t="b">
        <f t="shared" si="36"/>
        <v>1</v>
      </c>
      <c r="T143" s="167">
        <f t="shared" si="37"/>
        <v>0</v>
      </c>
      <c r="U143" s="167">
        <f t="shared" si="38"/>
        <v>0</v>
      </c>
      <c r="V143" s="167">
        <f t="shared" si="39"/>
        <v>0</v>
      </c>
    </row>
    <row r="144" spans="1:22" s="90" customFormat="1" ht="20.100000000000001" customHeight="1">
      <c r="A144" s="347"/>
      <c r="B144" s="48" t="s">
        <v>947</v>
      </c>
      <c r="C144" s="238" t="s">
        <v>698</v>
      </c>
      <c r="D144" s="239" t="s">
        <v>90</v>
      </c>
      <c r="E144" s="244">
        <f>E145+E146</f>
        <v>294029.19</v>
      </c>
      <c r="F144" s="244">
        <f>F145+F146</f>
        <v>310294.28999999998</v>
      </c>
      <c r="G144" s="244">
        <f>G145+G146</f>
        <v>323144.5</v>
      </c>
      <c r="H144" s="244">
        <v>296225.32</v>
      </c>
      <c r="I144" s="244">
        <v>310294.28999999998</v>
      </c>
      <c r="J144" s="244">
        <v>323144.5</v>
      </c>
      <c r="K144" s="48" t="s">
        <v>947</v>
      </c>
      <c r="L144" s="238" t="s">
        <v>698</v>
      </c>
      <c r="M144" s="239" t="s">
        <v>90</v>
      </c>
      <c r="N144" s="244">
        <v>296225.32</v>
      </c>
      <c r="O144" s="244">
        <v>310294.28999999998</v>
      </c>
      <c r="P144" s="244">
        <v>323144.5</v>
      </c>
      <c r="Q144" s="101" t="b">
        <f t="shared" si="34"/>
        <v>1</v>
      </c>
      <c r="R144" s="101" t="b">
        <f t="shared" si="35"/>
        <v>1</v>
      </c>
      <c r="S144" s="101" t="b">
        <f t="shared" si="36"/>
        <v>1</v>
      </c>
      <c r="T144" s="167">
        <f t="shared" si="37"/>
        <v>-2196.1300000000047</v>
      </c>
      <c r="U144" s="167">
        <f t="shared" si="38"/>
        <v>0</v>
      </c>
      <c r="V144" s="167">
        <f t="shared" si="39"/>
        <v>0</v>
      </c>
    </row>
    <row r="145" spans="1:22" s="90" customFormat="1" ht="20.100000000000001" customHeight="1">
      <c r="A145" s="347"/>
      <c r="B145" s="180" t="s">
        <v>145</v>
      </c>
      <c r="C145" s="238" t="s">
        <v>698</v>
      </c>
      <c r="D145" s="239" t="s">
        <v>153</v>
      </c>
      <c r="E145" s="244">
        <f>'Вед-я стр-ра'!H707</f>
        <v>4200</v>
      </c>
      <c r="F145" s="244">
        <f>'Вед-я стр-ра'!I707</f>
        <v>4200</v>
      </c>
      <c r="G145" s="244">
        <f>'Вед-я стр-ра'!J707</f>
        <v>4200</v>
      </c>
      <c r="H145" s="244">
        <v>4200</v>
      </c>
      <c r="I145" s="244">
        <v>4200</v>
      </c>
      <c r="J145" s="244">
        <v>4200</v>
      </c>
      <c r="K145" s="180" t="s">
        <v>145</v>
      </c>
      <c r="L145" s="238" t="s">
        <v>698</v>
      </c>
      <c r="M145" s="239" t="s">
        <v>153</v>
      </c>
      <c r="N145" s="244">
        <v>4200</v>
      </c>
      <c r="O145" s="244">
        <v>4200</v>
      </c>
      <c r="P145" s="244">
        <v>4200</v>
      </c>
      <c r="Q145" s="101" t="b">
        <f t="shared" si="34"/>
        <v>1</v>
      </c>
      <c r="R145" s="101" t="b">
        <f t="shared" si="35"/>
        <v>1</v>
      </c>
      <c r="S145" s="101" t="b">
        <f t="shared" si="36"/>
        <v>1</v>
      </c>
      <c r="T145" s="167">
        <f t="shared" si="37"/>
        <v>0</v>
      </c>
      <c r="U145" s="167">
        <f t="shared" si="38"/>
        <v>0</v>
      </c>
      <c r="V145" s="167">
        <f t="shared" si="39"/>
        <v>0</v>
      </c>
    </row>
    <row r="146" spans="1:22" s="90" customFormat="1" ht="20.100000000000001" customHeight="1">
      <c r="A146" s="347"/>
      <c r="B146" s="180" t="s">
        <v>146</v>
      </c>
      <c r="C146" s="238" t="s">
        <v>698</v>
      </c>
      <c r="D146" s="239" t="s">
        <v>169</v>
      </c>
      <c r="E146" s="244">
        <f>'Вед-я стр-ра'!H708</f>
        <v>289829.19</v>
      </c>
      <c r="F146" s="244">
        <f>'Вед-я стр-ра'!I708</f>
        <v>306094.28999999998</v>
      </c>
      <c r="G146" s="244">
        <f>'Вед-я стр-ра'!J708</f>
        <v>318944.5</v>
      </c>
      <c r="H146" s="244">
        <v>292025.32</v>
      </c>
      <c r="I146" s="244">
        <v>306094.28999999998</v>
      </c>
      <c r="J146" s="244">
        <v>318944.5</v>
      </c>
      <c r="K146" s="180" t="s">
        <v>146</v>
      </c>
      <c r="L146" s="238" t="s">
        <v>698</v>
      </c>
      <c r="M146" s="239" t="s">
        <v>169</v>
      </c>
      <c r="N146" s="244">
        <v>292025.32</v>
      </c>
      <c r="O146" s="244">
        <v>306094.28999999998</v>
      </c>
      <c r="P146" s="244">
        <v>318944.5</v>
      </c>
      <c r="Q146" s="101" t="b">
        <f t="shared" si="34"/>
        <v>1</v>
      </c>
      <c r="R146" s="101" t="b">
        <f t="shared" si="35"/>
        <v>1</v>
      </c>
      <c r="S146" s="101" t="b">
        <f t="shared" si="36"/>
        <v>1</v>
      </c>
      <c r="T146" s="167">
        <f t="shared" si="37"/>
        <v>-2196.1300000000047</v>
      </c>
      <c r="U146" s="167">
        <f t="shared" si="38"/>
        <v>0</v>
      </c>
      <c r="V146" s="167">
        <f t="shared" si="39"/>
        <v>0</v>
      </c>
    </row>
    <row r="147" spans="1:22" s="90" customFormat="1" ht="20.100000000000001" customHeight="1">
      <c r="A147" s="347"/>
      <c r="B147" s="178" t="s">
        <v>971</v>
      </c>
      <c r="C147" s="37" t="s">
        <v>1019</v>
      </c>
      <c r="D147" s="37" t="s">
        <v>90</v>
      </c>
      <c r="E147" s="183">
        <f>E148+E149</f>
        <v>3725</v>
      </c>
      <c r="F147" s="183">
        <f>F148+F149</f>
        <v>3024.52</v>
      </c>
      <c r="G147" s="183">
        <f>G148+G149</f>
        <v>3024.52</v>
      </c>
      <c r="H147" s="183">
        <v>3024.52</v>
      </c>
      <c r="I147" s="183">
        <v>3024.52</v>
      </c>
      <c r="J147" s="183">
        <v>3024.52</v>
      </c>
      <c r="K147" s="178" t="s">
        <v>971</v>
      </c>
      <c r="L147" s="37" t="s">
        <v>1019</v>
      </c>
      <c r="M147" s="37" t="s">
        <v>90</v>
      </c>
      <c r="N147" s="183">
        <v>3024.52</v>
      </c>
      <c r="O147" s="183">
        <v>3024.52</v>
      </c>
      <c r="P147" s="183">
        <v>3024.52</v>
      </c>
      <c r="Q147" s="101" t="b">
        <f t="shared" si="34"/>
        <v>1</v>
      </c>
      <c r="R147" s="101" t="b">
        <f t="shared" si="35"/>
        <v>1</v>
      </c>
      <c r="S147" s="101" t="b">
        <f t="shared" si="36"/>
        <v>1</v>
      </c>
      <c r="T147" s="167">
        <f t="shared" si="37"/>
        <v>700.48</v>
      </c>
      <c r="U147" s="167">
        <f t="shared" si="38"/>
        <v>0</v>
      </c>
      <c r="V147" s="167">
        <f t="shared" si="39"/>
        <v>0</v>
      </c>
    </row>
    <row r="148" spans="1:22" s="90" customFormat="1" ht="20.100000000000001" customHeight="1">
      <c r="A148" s="347"/>
      <c r="B148" s="182" t="s">
        <v>145</v>
      </c>
      <c r="C148" s="37" t="s">
        <v>1019</v>
      </c>
      <c r="D148" s="37" t="s">
        <v>153</v>
      </c>
      <c r="E148" s="183">
        <f>'Вед-я стр-ра'!H710</f>
        <v>25</v>
      </c>
      <c r="F148" s="183">
        <f>'Вед-я стр-ра'!I710</f>
        <v>24.52</v>
      </c>
      <c r="G148" s="183">
        <f>'Вед-я стр-ра'!J710</f>
        <v>24.52</v>
      </c>
      <c r="H148" s="183">
        <v>24.52</v>
      </c>
      <c r="I148" s="183">
        <v>24.52</v>
      </c>
      <c r="J148" s="183">
        <v>24.52</v>
      </c>
      <c r="K148" s="182" t="s">
        <v>145</v>
      </c>
      <c r="L148" s="37" t="s">
        <v>1019</v>
      </c>
      <c r="M148" s="37" t="s">
        <v>153</v>
      </c>
      <c r="N148" s="183">
        <v>24.52</v>
      </c>
      <c r="O148" s="183">
        <v>24.52</v>
      </c>
      <c r="P148" s="183">
        <v>24.52</v>
      </c>
      <c r="Q148" s="101" t="b">
        <f t="shared" si="34"/>
        <v>1</v>
      </c>
      <c r="R148" s="101" t="b">
        <f t="shared" si="35"/>
        <v>1</v>
      </c>
      <c r="S148" s="101" t="b">
        <f t="shared" si="36"/>
        <v>1</v>
      </c>
      <c r="T148" s="167">
        <f t="shared" si="37"/>
        <v>0.48000000000000043</v>
      </c>
      <c r="U148" s="167">
        <f t="shared" si="38"/>
        <v>0</v>
      </c>
      <c r="V148" s="167">
        <f t="shared" si="39"/>
        <v>0</v>
      </c>
    </row>
    <row r="149" spans="1:22" s="90" customFormat="1" ht="20.100000000000001" customHeight="1">
      <c r="A149" s="347"/>
      <c r="B149" s="23" t="s">
        <v>147</v>
      </c>
      <c r="C149" s="37" t="s">
        <v>1019</v>
      </c>
      <c r="D149" s="37" t="s">
        <v>154</v>
      </c>
      <c r="E149" s="183">
        <f>'Вед-я стр-ра'!H711</f>
        <v>3700</v>
      </c>
      <c r="F149" s="183">
        <f>'Вед-я стр-ра'!I711</f>
        <v>3000</v>
      </c>
      <c r="G149" s="183">
        <f>'Вед-я стр-ра'!J711</f>
        <v>3000</v>
      </c>
      <c r="H149" s="183">
        <v>3000</v>
      </c>
      <c r="I149" s="183">
        <v>3000</v>
      </c>
      <c r="J149" s="183">
        <v>3000</v>
      </c>
      <c r="K149" s="23" t="s">
        <v>147</v>
      </c>
      <c r="L149" s="37" t="s">
        <v>1019</v>
      </c>
      <c r="M149" s="37" t="s">
        <v>154</v>
      </c>
      <c r="N149" s="183">
        <v>3000</v>
      </c>
      <c r="O149" s="183">
        <v>3000</v>
      </c>
      <c r="P149" s="183">
        <v>3000</v>
      </c>
      <c r="Q149" s="101" t="b">
        <f t="shared" si="34"/>
        <v>1</v>
      </c>
      <c r="R149" s="101" t="b">
        <f t="shared" si="35"/>
        <v>1</v>
      </c>
      <c r="S149" s="101" t="b">
        <f t="shared" si="36"/>
        <v>1</v>
      </c>
      <c r="T149" s="167">
        <f t="shared" si="37"/>
        <v>700</v>
      </c>
      <c r="U149" s="167">
        <f t="shared" si="38"/>
        <v>0</v>
      </c>
      <c r="V149" s="167">
        <f t="shared" si="39"/>
        <v>0</v>
      </c>
    </row>
    <row r="150" spans="1:22" s="90" customFormat="1" ht="20.100000000000001" customHeight="1">
      <c r="A150" s="347"/>
      <c r="B150" s="178" t="s">
        <v>1063</v>
      </c>
      <c r="C150" s="37" t="s">
        <v>1062</v>
      </c>
      <c r="D150" s="37" t="s">
        <v>90</v>
      </c>
      <c r="E150" s="183">
        <f>E151</f>
        <v>2359.8000000000002</v>
      </c>
      <c r="F150" s="183">
        <f>F151</f>
        <v>2359.8000000000002</v>
      </c>
      <c r="G150" s="183">
        <f>G151</f>
        <v>2359.8000000000002</v>
      </c>
      <c r="H150" s="183">
        <v>2359.8000000000002</v>
      </c>
      <c r="I150" s="183">
        <v>2359.8000000000002</v>
      </c>
      <c r="J150" s="183">
        <v>2359.8000000000002</v>
      </c>
      <c r="K150" s="178" t="s">
        <v>1063</v>
      </c>
      <c r="L150" s="37" t="s">
        <v>1062</v>
      </c>
      <c r="M150" s="37" t="s">
        <v>90</v>
      </c>
      <c r="N150" s="183">
        <v>2359.8000000000002</v>
      </c>
      <c r="O150" s="183">
        <v>2359.8000000000002</v>
      </c>
      <c r="P150" s="183">
        <v>2359.8000000000002</v>
      </c>
      <c r="Q150" s="101" t="b">
        <f t="shared" si="34"/>
        <v>1</v>
      </c>
      <c r="R150" s="101" t="b">
        <f t="shared" si="35"/>
        <v>1</v>
      </c>
      <c r="S150" s="101" t="b">
        <f t="shared" si="36"/>
        <v>1</v>
      </c>
      <c r="T150" s="167">
        <f t="shared" si="37"/>
        <v>0</v>
      </c>
      <c r="U150" s="167">
        <f t="shared" si="38"/>
        <v>0</v>
      </c>
      <c r="V150" s="167">
        <f t="shared" si="39"/>
        <v>0</v>
      </c>
    </row>
    <row r="151" spans="1:22" s="90" customFormat="1" ht="20.100000000000001" customHeight="1">
      <c r="A151" s="347"/>
      <c r="B151" s="23" t="s">
        <v>146</v>
      </c>
      <c r="C151" s="37" t="s">
        <v>1062</v>
      </c>
      <c r="D151" s="37" t="s">
        <v>169</v>
      </c>
      <c r="E151" s="183">
        <f>'Вед-я стр-ра'!H713</f>
        <v>2359.8000000000002</v>
      </c>
      <c r="F151" s="183">
        <f>'Вед-я стр-ра'!I713</f>
        <v>2359.8000000000002</v>
      </c>
      <c r="G151" s="183">
        <f>'Вед-я стр-ра'!J713</f>
        <v>2359.8000000000002</v>
      </c>
      <c r="H151" s="183">
        <v>2359.8000000000002</v>
      </c>
      <c r="I151" s="183">
        <v>2359.8000000000002</v>
      </c>
      <c r="J151" s="183">
        <v>2359.8000000000002</v>
      </c>
      <c r="K151" s="23" t="s">
        <v>146</v>
      </c>
      <c r="L151" s="37" t="s">
        <v>1062</v>
      </c>
      <c r="M151" s="37" t="s">
        <v>169</v>
      </c>
      <c r="N151" s="183">
        <v>2359.8000000000002</v>
      </c>
      <c r="O151" s="183">
        <v>2359.8000000000002</v>
      </c>
      <c r="P151" s="183">
        <v>2359.8000000000002</v>
      </c>
      <c r="Q151" s="101" t="b">
        <f t="shared" si="34"/>
        <v>1</v>
      </c>
      <c r="R151" s="101" t="b">
        <f t="shared" si="35"/>
        <v>1</v>
      </c>
      <c r="S151" s="101" t="b">
        <f t="shared" si="36"/>
        <v>1</v>
      </c>
      <c r="T151" s="167">
        <f t="shared" si="37"/>
        <v>0</v>
      </c>
      <c r="U151" s="167">
        <f t="shared" si="38"/>
        <v>0</v>
      </c>
      <c r="V151" s="167">
        <f t="shared" si="39"/>
        <v>0</v>
      </c>
    </row>
    <row r="152" spans="1:22" s="90" customFormat="1" ht="20.100000000000001" customHeight="1">
      <c r="A152" s="347"/>
      <c r="B152" s="23" t="s">
        <v>1020</v>
      </c>
      <c r="C152" s="37" t="s">
        <v>1003</v>
      </c>
      <c r="D152" s="37" t="s">
        <v>90</v>
      </c>
      <c r="E152" s="183">
        <f>E153</f>
        <v>139389.66</v>
      </c>
      <c r="F152" s="183">
        <f>F153</f>
        <v>139389.66</v>
      </c>
      <c r="G152" s="183">
        <f>G153</f>
        <v>142407.37</v>
      </c>
      <c r="H152" s="183">
        <v>92391.08</v>
      </c>
      <c r="I152" s="183">
        <v>94489.61</v>
      </c>
      <c r="J152" s="183">
        <v>94489.61</v>
      </c>
      <c r="K152" s="23" t="s">
        <v>1020</v>
      </c>
      <c r="L152" s="37" t="s">
        <v>1003</v>
      </c>
      <c r="M152" s="37" t="s">
        <v>90</v>
      </c>
      <c r="N152" s="183">
        <v>92391.08</v>
      </c>
      <c r="O152" s="183">
        <v>94489.61</v>
      </c>
      <c r="P152" s="183">
        <v>94489.61</v>
      </c>
      <c r="Q152" s="101" t="b">
        <f t="shared" si="34"/>
        <v>1</v>
      </c>
      <c r="R152" s="101" t="b">
        <f t="shared" si="35"/>
        <v>1</v>
      </c>
      <c r="S152" s="101" t="b">
        <f t="shared" si="36"/>
        <v>1</v>
      </c>
      <c r="T152" s="167">
        <f t="shared" si="37"/>
        <v>46998.58</v>
      </c>
      <c r="U152" s="167">
        <f t="shared" si="38"/>
        <v>44900.05</v>
      </c>
      <c r="V152" s="167">
        <f t="shared" si="39"/>
        <v>47917.759999999995</v>
      </c>
    </row>
    <row r="153" spans="1:22" s="90" customFormat="1" ht="20.100000000000001" customHeight="1">
      <c r="A153" s="347"/>
      <c r="B153" s="23" t="s">
        <v>147</v>
      </c>
      <c r="C153" s="37" t="s">
        <v>1003</v>
      </c>
      <c r="D153" s="37" t="s">
        <v>154</v>
      </c>
      <c r="E153" s="183">
        <f>'Вед-я стр-ра'!H715</f>
        <v>139389.66</v>
      </c>
      <c r="F153" s="183">
        <f>'Вед-я стр-ра'!I715</f>
        <v>139389.66</v>
      </c>
      <c r="G153" s="183">
        <f>'Вед-я стр-ра'!J715</f>
        <v>142407.37</v>
      </c>
      <c r="H153" s="183">
        <v>92391.08</v>
      </c>
      <c r="I153" s="183">
        <v>94489.61</v>
      </c>
      <c r="J153" s="183">
        <v>94489.61</v>
      </c>
      <c r="K153" s="23" t="s">
        <v>147</v>
      </c>
      <c r="L153" s="37" t="s">
        <v>1003</v>
      </c>
      <c r="M153" s="37" t="s">
        <v>154</v>
      </c>
      <c r="N153" s="183">
        <v>92391.08</v>
      </c>
      <c r="O153" s="183">
        <v>94489.61</v>
      </c>
      <c r="P153" s="183">
        <v>94489.61</v>
      </c>
      <c r="Q153" s="101" t="b">
        <f t="shared" si="34"/>
        <v>1</v>
      </c>
      <c r="R153" s="101" t="b">
        <f t="shared" si="35"/>
        <v>1</v>
      </c>
      <c r="S153" s="101" t="b">
        <f t="shared" si="36"/>
        <v>1</v>
      </c>
      <c r="T153" s="167">
        <f t="shared" si="37"/>
        <v>46998.58</v>
      </c>
      <c r="U153" s="167">
        <f t="shared" si="38"/>
        <v>44900.05</v>
      </c>
      <c r="V153" s="167">
        <f t="shared" si="39"/>
        <v>47917.759999999995</v>
      </c>
    </row>
    <row r="154" spans="1:22" s="90" customFormat="1" ht="20.100000000000001" customHeight="1">
      <c r="A154" s="347"/>
      <c r="B154" s="180" t="s">
        <v>372</v>
      </c>
      <c r="C154" s="238" t="s">
        <v>373</v>
      </c>
      <c r="D154" s="239" t="s">
        <v>90</v>
      </c>
      <c r="E154" s="244">
        <f t="shared" ref="E154:F154" si="40">E158+E155+E163+E166+E160+E169</f>
        <v>799553.5</v>
      </c>
      <c r="F154" s="244">
        <f t="shared" si="40"/>
        <v>296998.53999999998</v>
      </c>
      <c r="G154" s="244">
        <f t="shared" ref="G154" si="41">G158+G155+G163+G166+G160+G169</f>
        <v>321548.95</v>
      </c>
      <c r="H154" s="244">
        <v>781694.36</v>
      </c>
      <c r="I154" s="244">
        <v>353891.66</v>
      </c>
      <c r="J154" s="244">
        <v>378442.07</v>
      </c>
      <c r="K154" s="180" t="s">
        <v>372</v>
      </c>
      <c r="L154" s="238" t="s">
        <v>373</v>
      </c>
      <c r="M154" s="239" t="s">
        <v>90</v>
      </c>
      <c r="N154" s="244">
        <v>781694.36</v>
      </c>
      <c r="O154" s="244">
        <v>353891.66</v>
      </c>
      <c r="P154" s="244">
        <v>378442.07</v>
      </c>
      <c r="Q154" s="101" t="b">
        <f t="shared" si="34"/>
        <v>1</v>
      </c>
      <c r="R154" s="101" t="b">
        <f t="shared" si="35"/>
        <v>1</v>
      </c>
      <c r="S154" s="101" t="b">
        <f t="shared" si="36"/>
        <v>1</v>
      </c>
      <c r="T154" s="167">
        <f t="shared" si="37"/>
        <v>17859.140000000014</v>
      </c>
      <c r="U154" s="167">
        <f t="shared" si="38"/>
        <v>-56893.119999999995</v>
      </c>
      <c r="V154" s="167">
        <f t="shared" si="39"/>
        <v>-56893.119999999995</v>
      </c>
    </row>
    <row r="155" spans="1:22" s="90" customFormat="1" ht="20.100000000000001" customHeight="1">
      <c r="A155" s="347"/>
      <c r="B155" s="48" t="s">
        <v>1088</v>
      </c>
      <c r="C155" s="238" t="s">
        <v>374</v>
      </c>
      <c r="D155" s="239" t="s">
        <v>90</v>
      </c>
      <c r="E155" s="244">
        <f>E156+E157</f>
        <v>578.69999999999993</v>
      </c>
      <c r="F155" s="244">
        <f>F156+F157</f>
        <v>570.47</v>
      </c>
      <c r="G155" s="244">
        <f>G156+G157</f>
        <v>593.29999999999995</v>
      </c>
      <c r="H155" s="244">
        <v>548.54</v>
      </c>
      <c r="I155" s="244">
        <v>570.47</v>
      </c>
      <c r="J155" s="244">
        <v>593.29999999999995</v>
      </c>
      <c r="K155" s="48" t="s">
        <v>1088</v>
      </c>
      <c r="L155" s="238" t="s">
        <v>374</v>
      </c>
      <c r="M155" s="239" t="s">
        <v>90</v>
      </c>
      <c r="N155" s="244">
        <v>548.54</v>
      </c>
      <c r="O155" s="244">
        <v>570.47</v>
      </c>
      <c r="P155" s="244">
        <v>593.29999999999995</v>
      </c>
      <c r="Q155" s="101" t="b">
        <f t="shared" si="34"/>
        <v>1</v>
      </c>
      <c r="R155" s="101" t="b">
        <f t="shared" si="35"/>
        <v>1</v>
      </c>
      <c r="S155" s="101" t="b">
        <f t="shared" si="36"/>
        <v>1</v>
      </c>
      <c r="T155" s="167">
        <f t="shared" si="37"/>
        <v>30.159999999999968</v>
      </c>
      <c r="U155" s="167">
        <f t="shared" si="38"/>
        <v>0</v>
      </c>
      <c r="V155" s="167">
        <f t="shared" si="39"/>
        <v>0</v>
      </c>
    </row>
    <row r="156" spans="1:22" s="90" customFormat="1" ht="20.100000000000001" customHeight="1">
      <c r="A156" s="347"/>
      <c r="B156" s="180" t="s">
        <v>145</v>
      </c>
      <c r="C156" s="238" t="s">
        <v>374</v>
      </c>
      <c r="D156" s="239" t="s">
        <v>153</v>
      </c>
      <c r="E156" s="244">
        <f>'Вед-я стр-ра'!H718</f>
        <v>6.54</v>
      </c>
      <c r="F156" s="244">
        <f>'Вед-я стр-ра'!I718</f>
        <v>6.4</v>
      </c>
      <c r="G156" s="244">
        <f>'Вед-я стр-ра'!J718</f>
        <v>7</v>
      </c>
      <c r="H156" s="244">
        <v>6.54</v>
      </c>
      <c r="I156" s="244">
        <v>6.4</v>
      </c>
      <c r="J156" s="244">
        <v>7</v>
      </c>
      <c r="K156" s="180" t="s">
        <v>145</v>
      </c>
      <c r="L156" s="238" t="s">
        <v>374</v>
      </c>
      <c r="M156" s="239" t="s">
        <v>153</v>
      </c>
      <c r="N156" s="244">
        <v>6.54</v>
      </c>
      <c r="O156" s="244">
        <v>6.4</v>
      </c>
      <c r="P156" s="244">
        <v>7</v>
      </c>
      <c r="Q156" s="101" t="b">
        <f t="shared" si="34"/>
        <v>1</v>
      </c>
      <c r="R156" s="101" t="b">
        <f t="shared" si="35"/>
        <v>1</v>
      </c>
      <c r="S156" s="101" t="b">
        <f t="shared" si="36"/>
        <v>1</v>
      </c>
      <c r="T156" s="167">
        <f t="shared" si="37"/>
        <v>0</v>
      </c>
      <c r="U156" s="167">
        <f t="shared" si="38"/>
        <v>0</v>
      </c>
      <c r="V156" s="167">
        <f t="shared" si="39"/>
        <v>0</v>
      </c>
    </row>
    <row r="157" spans="1:22" s="90" customFormat="1" ht="20.100000000000001" customHeight="1">
      <c r="A157" s="347"/>
      <c r="B157" s="180" t="s">
        <v>146</v>
      </c>
      <c r="C157" s="238" t="s">
        <v>374</v>
      </c>
      <c r="D157" s="239" t="s">
        <v>169</v>
      </c>
      <c r="E157" s="244">
        <f>'Вед-я стр-ра'!H719</f>
        <v>572.16</v>
      </c>
      <c r="F157" s="244">
        <f>'Вед-я стр-ра'!I719</f>
        <v>564.07000000000005</v>
      </c>
      <c r="G157" s="244">
        <f>'Вед-я стр-ра'!J719</f>
        <v>586.29999999999995</v>
      </c>
      <c r="H157" s="244">
        <v>542</v>
      </c>
      <c r="I157" s="244">
        <v>564.07000000000005</v>
      </c>
      <c r="J157" s="244">
        <v>586.29999999999995</v>
      </c>
      <c r="K157" s="180" t="s">
        <v>146</v>
      </c>
      <c r="L157" s="238" t="s">
        <v>374</v>
      </c>
      <c r="M157" s="239" t="s">
        <v>169</v>
      </c>
      <c r="N157" s="244">
        <v>542</v>
      </c>
      <c r="O157" s="244">
        <v>564.07000000000005</v>
      </c>
      <c r="P157" s="244">
        <v>586.29999999999995</v>
      </c>
      <c r="Q157" s="101" t="b">
        <f t="shared" si="34"/>
        <v>1</v>
      </c>
      <c r="R157" s="101" t="b">
        <f t="shared" si="35"/>
        <v>1</v>
      </c>
      <c r="S157" s="101" t="b">
        <f t="shared" si="36"/>
        <v>1</v>
      </c>
      <c r="T157" s="167">
        <f t="shared" si="37"/>
        <v>30.159999999999968</v>
      </c>
      <c r="U157" s="167">
        <f t="shared" si="38"/>
        <v>0</v>
      </c>
      <c r="V157" s="167">
        <f t="shared" si="39"/>
        <v>0</v>
      </c>
    </row>
    <row r="158" spans="1:22" s="90" customFormat="1" ht="20.100000000000001" customHeight="1">
      <c r="A158" s="347"/>
      <c r="B158" s="180" t="s">
        <v>950</v>
      </c>
      <c r="C158" s="238" t="s">
        <v>375</v>
      </c>
      <c r="D158" s="239" t="s">
        <v>90</v>
      </c>
      <c r="E158" s="244">
        <f>E159</f>
        <v>110241.91</v>
      </c>
      <c r="F158" s="244">
        <f>F159</f>
        <v>108792.43</v>
      </c>
      <c r="G158" s="244">
        <f>G159</f>
        <v>113099.11</v>
      </c>
      <c r="H158" s="244">
        <v>104527.41</v>
      </c>
      <c r="I158" s="244">
        <v>108792.43</v>
      </c>
      <c r="J158" s="244">
        <v>113099.11</v>
      </c>
      <c r="K158" s="180" t="s">
        <v>950</v>
      </c>
      <c r="L158" s="238" t="s">
        <v>375</v>
      </c>
      <c r="M158" s="239" t="s">
        <v>90</v>
      </c>
      <c r="N158" s="244">
        <v>104527.41</v>
      </c>
      <c r="O158" s="244">
        <v>108792.43</v>
      </c>
      <c r="P158" s="244">
        <v>113099.11</v>
      </c>
      <c r="Q158" s="101" t="b">
        <f t="shared" si="34"/>
        <v>1</v>
      </c>
      <c r="R158" s="101" t="b">
        <f t="shared" si="35"/>
        <v>1</v>
      </c>
      <c r="S158" s="101" t="b">
        <f t="shared" si="36"/>
        <v>1</v>
      </c>
      <c r="T158" s="167">
        <f t="shared" si="37"/>
        <v>5714.5</v>
      </c>
      <c r="U158" s="167">
        <f t="shared" si="38"/>
        <v>0</v>
      </c>
      <c r="V158" s="167">
        <f t="shared" si="39"/>
        <v>0</v>
      </c>
    </row>
    <row r="159" spans="1:22" s="90" customFormat="1" ht="20.100000000000001" customHeight="1">
      <c r="A159" s="347"/>
      <c r="B159" s="180" t="s">
        <v>146</v>
      </c>
      <c r="C159" s="238" t="s">
        <v>375</v>
      </c>
      <c r="D159" s="239" t="s">
        <v>169</v>
      </c>
      <c r="E159" s="244">
        <f>'Вед-я стр-ра'!H769</f>
        <v>110241.91</v>
      </c>
      <c r="F159" s="244">
        <f>'Вед-я стр-ра'!I769</f>
        <v>108792.43</v>
      </c>
      <c r="G159" s="244">
        <f>'Вед-я стр-ра'!J769</f>
        <v>113099.11</v>
      </c>
      <c r="H159" s="244">
        <v>104527.41</v>
      </c>
      <c r="I159" s="244">
        <v>108792.43</v>
      </c>
      <c r="J159" s="244">
        <v>113099.11</v>
      </c>
      <c r="K159" s="180" t="s">
        <v>146</v>
      </c>
      <c r="L159" s="238" t="s">
        <v>375</v>
      </c>
      <c r="M159" s="239" t="s">
        <v>169</v>
      </c>
      <c r="N159" s="244">
        <v>104527.41</v>
      </c>
      <c r="O159" s="244">
        <v>108792.43</v>
      </c>
      <c r="P159" s="244">
        <v>113099.11</v>
      </c>
      <c r="Q159" s="101" t="b">
        <f t="shared" si="34"/>
        <v>1</v>
      </c>
      <c r="R159" s="101" t="b">
        <f t="shared" si="35"/>
        <v>1</v>
      </c>
      <c r="S159" s="101" t="b">
        <f t="shared" si="36"/>
        <v>1</v>
      </c>
      <c r="T159" s="167">
        <f t="shared" si="37"/>
        <v>5714.5</v>
      </c>
      <c r="U159" s="167">
        <f t="shared" si="38"/>
        <v>0</v>
      </c>
      <c r="V159" s="167">
        <f t="shared" si="39"/>
        <v>0</v>
      </c>
    </row>
    <row r="160" spans="1:22" s="90" customFormat="1" ht="20.100000000000001" customHeight="1">
      <c r="A160" s="347"/>
      <c r="B160" s="48" t="s">
        <v>579</v>
      </c>
      <c r="C160" s="37" t="s">
        <v>874</v>
      </c>
      <c r="D160" s="37" t="s">
        <v>90</v>
      </c>
      <c r="E160" s="183">
        <f>E161+E162</f>
        <v>143572.85</v>
      </c>
      <c r="F160" s="183">
        <f>F161+F162</f>
        <v>152859.01999999999</v>
      </c>
      <c r="G160" s="183">
        <f>G161+G162</f>
        <v>171688.88</v>
      </c>
      <c r="H160" s="183">
        <v>136088.29</v>
      </c>
      <c r="I160" s="183">
        <v>152859.01999999999</v>
      </c>
      <c r="J160" s="183">
        <v>171688.88</v>
      </c>
      <c r="K160" s="48" t="s">
        <v>579</v>
      </c>
      <c r="L160" s="37" t="s">
        <v>874</v>
      </c>
      <c r="M160" s="37" t="s">
        <v>90</v>
      </c>
      <c r="N160" s="183">
        <v>136088.29</v>
      </c>
      <c r="O160" s="183">
        <v>152859.01999999999</v>
      </c>
      <c r="P160" s="183">
        <v>171688.88</v>
      </c>
      <c r="Q160" s="101" t="b">
        <f t="shared" si="34"/>
        <v>1</v>
      </c>
      <c r="R160" s="101" t="b">
        <f t="shared" si="35"/>
        <v>1</v>
      </c>
      <c r="S160" s="101" t="b">
        <f t="shared" si="36"/>
        <v>1</v>
      </c>
      <c r="T160" s="167">
        <f t="shared" si="37"/>
        <v>7484.5599999999977</v>
      </c>
      <c r="U160" s="167">
        <f t="shared" si="38"/>
        <v>0</v>
      </c>
      <c r="V160" s="167">
        <f t="shared" si="39"/>
        <v>0</v>
      </c>
    </row>
    <row r="161" spans="1:22" s="90" customFormat="1" ht="20.100000000000001" customHeight="1">
      <c r="A161" s="347"/>
      <c r="B161" s="182" t="s">
        <v>145</v>
      </c>
      <c r="C161" s="37" t="s">
        <v>874</v>
      </c>
      <c r="D161" s="37" t="s">
        <v>153</v>
      </c>
      <c r="E161" s="183">
        <f>'Вед-я стр-ра'!H771</f>
        <v>1786.1</v>
      </c>
      <c r="F161" s="183">
        <f>'Вед-я стр-ра'!I771</f>
        <v>1902.02</v>
      </c>
      <c r="G161" s="183">
        <f>'Вед-я стр-ра'!J771</f>
        <v>2135.88</v>
      </c>
      <c r="H161" s="183">
        <v>1693.29</v>
      </c>
      <c r="I161" s="183">
        <v>1902.02</v>
      </c>
      <c r="J161" s="183">
        <v>2135.88</v>
      </c>
      <c r="K161" s="182" t="s">
        <v>145</v>
      </c>
      <c r="L161" s="37" t="s">
        <v>874</v>
      </c>
      <c r="M161" s="37" t="s">
        <v>153</v>
      </c>
      <c r="N161" s="183">
        <v>1693.29</v>
      </c>
      <c r="O161" s="183">
        <v>1902.02</v>
      </c>
      <c r="P161" s="183">
        <v>2135.88</v>
      </c>
      <c r="Q161" s="101" t="b">
        <f t="shared" si="34"/>
        <v>1</v>
      </c>
      <c r="R161" s="101" t="b">
        <f t="shared" si="35"/>
        <v>1</v>
      </c>
      <c r="S161" s="101" t="b">
        <f t="shared" si="36"/>
        <v>1</v>
      </c>
      <c r="T161" s="167">
        <f t="shared" si="37"/>
        <v>92.809999999999945</v>
      </c>
      <c r="U161" s="167">
        <f t="shared" si="38"/>
        <v>0</v>
      </c>
      <c r="V161" s="167">
        <f t="shared" si="39"/>
        <v>0</v>
      </c>
    </row>
    <row r="162" spans="1:22" s="90" customFormat="1" ht="20.100000000000001" customHeight="1">
      <c r="A162" s="347"/>
      <c r="B162" s="23" t="s">
        <v>146</v>
      </c>
      <c r="C162" s="37" t="s">
        <v>874</v>
      </c>
      <c r="D162" s="37" t="s">
        <v>169</v>
      </c>
      <c r="E162" s="183">
        <f>'Вед-я стр-ра'!H772</f>
        <v>141786.75</v>
      </c>
      <c r="F162" s="183">
        <f>'Вед-я стр-ра'!I772</f>
        <v>150957</v>
      </c>
      <c r="G162" s="183">
        <f>'Вед-я стр-ра'!J772</f>
        <v>169553</v>
      </c>
      <c r="H162" s="183">
        <v>134395</v>
      </c>
      <c r="I162" s="183">
        <v>150957</v>
      </c>
      <c r="J162" s="183">
        <v>169553</v>
      </c>
      <c r="K162" s="23" t="s">
        <v>146</v>
      </c>
      <c r="L162" s="37" t="s">
        <v>874</v>
      </c>
      <c r="M162" s="37" t="s">
        <v>169</v>
      </c>
      <c r="N162" s="183">
        <v>134395</v>
      </c>
      <c r="O162" s="183">
        <v>150957</v>
      </c>
      <c r="P162" s="183">
        <v>169553</v>
      </c>
      <c r="Q162" s="101" t="b">
        <f t="shared" si="34"/>
        <v>1</v>
      </c>
      <c r="R162" s="101" t="b">
        <f t="shared" si="35"/>
        <v>1</v>
      </c>
      <c r="S162" s="101" t="b">
        <f t="shared" si="36"/>
        <v>1</v>
      </c>
      <c r="T162" s="167">
        <f t="shared" si="37"/>
        <v>7391.75</v>
      </c>
      <c r="U162" s="167">
        <f t="shared" si="38"/>
        <v>0</v>
      </c>
      <c r="V162" s="167">
        <f t="shared" si="39"/>
        <v>0</v>
      </c>
    </row>
    <row r="163" spans="1:22" s="90" customFormat="1" ht="20.100000000000001" customHeight="1">
      <c r="A163" s="347"/>
      <c r="B163" s="180" t="s">
        <v>577</v>
      </c>
      <c r="C163" s="238" t="s">
        <v>576</v>
      </c>
      <c r="D163" s="239" t="s">
        <v>90</v>
      </c>
      <c r="E163" s="244">
        <f>E165+E164</f>
        <v>35278.18</v>
      </c>
      <c r="F163" s="244">
        <f>F165+F164</f>
        <v>34776.620000000003</v>
      </c>
      <c r="G163" s="244">
        <f>G165+G164</f>
        <v>36167.660000000003</v>
      </c>
      <c r="H163" s="244">
        <v>33439.03</v>
      </c>
      <c r="I163" s="244">
        <v>34776.620000000003</v>
      </c>
      <c r="J163" s="244">
        <v>36167.660000000003</v>
      </c>
      <c r="K163" s="180" t="s">
        <v>577</v>
      </c>
      <c r="L163" s="238" t="s">
        <v>576</v>
      </c>
      <c r="M163" s="239" t="s">
        <v>90</v>
      </c>
      <c r="N163" s="244">
        <v>33439.03</v>
      </c>
      <c r="O163" s="244">
        <v>34776.620000000003</v>
      </c>
      <c r="P163" s="244">
        <v>36167.660000000003</v>
      </c>
      <c r="Q163" s="101" t="b">
        <f t="shared" si="34"/>
        <v>1</v>
      </c>
      <c r="R163" s="101" t="b">
        <f t="shared" si="35"/>
        <v>1</v>
      </c>
      <c r="S163" s="101" t="b">
        <f t="shared" si="36"/>
        <v>1</v>
      </c>
      <c r="T163" s="167">
        <f t="shared" si="37"/>
        <v>1839.1500000000015</v>
      </c>
      <c r="U163" s="167">
        <f t="shared" si="38"/>
        <v>0</v>
      </c>
      <c r="V163" s="167">
        <f t="shared" si="39"/>
        <v>0</v>
      </c>
    </row>
    <row r="164" spans="1:22" s="90" customFormat="1" ht="20.100000000000001" customHeight="1">
      <c r="A164" s="347"/>
      <c r="B164" s="180" t="s">
        <v>145</v>
      </c>
      <c r="C164" s="238" t="s">
        <v>576</v>
      </c>
      <c r="D164" s="239" t="s">
        <v>153</v>
      </c>
      <c r="E164" s="244">
        <f>'Вед-я стр-ра'!H774</f>
        <v>348.84</v>
      </c>
      <c r="F164" s="244">
        <f>'Вед-я стр-ра'!I774</f>
        <v>344.32</v>
      </c>
      <c r="G164" s="244">
        <f>'Вед-я стр-ра'!J774</f>
        <v>357.66</v>
      </c>
      <c r="H164" s="244">
        <v>330.63</v>
      </c>
      <c r="I164" s="244">
        <v>344.32</v>
      </c>
      <c r="J164" s="244">
        <v>357.66</v>
      </c>
      <c r="K164" s="180" t="s">
        <v>145</v>
      </c>
      <c r="L164" s="238" t="s">
        <v>576</v>
      </c>
      <c r="M164" s="239" t="s">
        <v>153</v>
      </c>
      <c r="N164" s="244">
        <v>330.63</v>
      </c>
      <c r="O164" s="244">
        <v>344.32</v>
      </c>
      <c r="P164" s="244">
        <v>357.66</v>
      </c>
      <c r="Q164" s="101" t="b">
        <f t="shared" si="34"/>
        <v>1</v>
      </c>
      <c r="R164" s="101" t="b">
        <f t="shared" si="35"/>
        <v>1</v>
      </c>
      <c r="S164" s="101" t="b">
        <f t="shared" si="36"/>
        <v>1</v>
      </c>
      <c r="T164" s="167">
        <f t="shared" si="37"/>
        <v>18.20999999999998</v>
      </c>
      <c r="U164" s="167">
        <f t="shared" si="38"/>
        <v>0</v>
      </c>
      <c r="V164" s="167">
        <f t="shared" si="39"/>
        <v>0</v>
      </c>
    </row>
    <row r="165" spans="1:22" s="90" customFormat="1" ht="20.100000000000001" customHeight="1">
      <c r="A165" s="347"/>
      <c r="B165" s="180" t="s">
        <v>146</v>
      </c>
      <c r="C165" s="238" t="s">
        <v>576</v>
      </c>
      <c r="D165" s="239" t="s">
        <v>169</v>
      </c>
      <c r="E165" s="244">
        <f>'Вед-я стр-ра'!H775</f>
        <v>34929.340000000004</v>
      </c>
      <c r="F165" s="244">
        <f>'Вед-я стр-ра'!I775</f>
        <v>34432.300000000003</v>
      </c>
      <c r="G165" s="244">
        <f>'Вед-я стр-ра'!J775</f>
        <v>35810</v>
      </c>
      <c r="H165" s="244">
        <v>33108.400000000001</v>
      </c>
      <c r="I165" s="244">
        <v>34432.300000000003</v>
      </c>
      <c r="J165" s="244">
        <v>35810</v>
      </c>
      <c r="K165" s="180" t="s">
        <v>146</v>
      </c>
      <c r="L165" s="238" t="s">
        <v>576</v>
      </c>
      <c r="M165" s="239" t="s">
        <v>169</v>
      </c>
      <c r="N165" s="244">
        <v>33108.400000000001</v>
      </c>
      <c r="O165" s="244">
        <v>34432.300000000003</v>
      </c>
      <c r="P165" s="244">
        <v>35810</v>
      </c>
      <c r="Q165" s="101" t="b">
        <f t="shared" si="34"/>
        <v>1</v>
      </c>
      <c r="R165" s="101" t="b">
        <f t="shared" si="35"/>
        <v>1</v>
      </c>
      <c r="S165" s="101" t="b">
        <f t="shared" si="36"/>
        <v>1</v>
      </c>
      <c r="T165" s="167">
        <f t="shared" si="37"/>
        <v>1820.9400000000023</v>
      </c>
      <c r="U165" s="167">
        <f t="shared" si="38"/>
        <v>0</v>
      </c>
      <c r="V165" s="167">
        <f t="shared" si="39"/>
        <v>0</v>
      </c>
    </row>
    <row r="166" spans="1:22" s="90" customFormat="1" ht="20.100000000000001" customHeight="1">
      <c r="A166" s="347"/>
      <c r="B166" s="48" t="s">
        <v>868</v>
      </c>
      <c r="C166" s="37" t="s">
        <v>854</v>
      </c>
      <c r="D166" s="37" t="s">
        <v>90</v>
      </c>
      <c r="E166" s="183">
        <f>E168+E167</f>
        <v>429.57</v>
      </c>
      <c r="F166" s="183">
        <f>F168+F167</f>
        <v>0</v>
      </c>
      <c r="G166" s="183">
        <f>G168+G167</f>
        <v>0</v>
      </c>
      <c r="H166" s="183">
        <v>429.57</v>
      </c>
      <c r="I166" s="183">
        <v>0</v>
      </c>
      <c r="J166" s="183">
        <v>0</v>
      </c>
      <c r="K166" s="48" t="s">
        <v>868</v>
      </c>
      <c r="L166" s="37" t="s">
        <v>854</v>
      </c>
      <c r="M166" s="37" t="s">
        <v>90</v>
      </c>
      <c r="N166" s="183">
        <v>429.57</v>
      </c>
      <c r="O166" s="183">
        <v>0</v>
      </c>
      <c r="P166" s="183">
        <v>0</v>
      </c>
      <c r="Q166" s="101" t="b">
        <f t="shared" si="34"/>
        <v>1</v>
      </c>
      <c r="R166" s="101" t="b">
        <f t="shared" si="35"/>
        <v>1</v>
      </c>
      <c r="S166" s="101" t="b">
        <f t="shared" si="36"/>
        <v>1</v>
      </c>
      <c r="T166" s="167">
        <f t="shared" si="37"/>
        <v>0</v>
      </c>
      <c r="U166" s="167">
        <f t="shared" si="38"/>
        <v>0</v>
      </c>
      <c r="V166" s="167">
        <f t="shared" si="39"/>
        <v>0</v>
      </c>
    </row>
    <row r="167" spans="1:22" s="90" customFormat="1" ht="20.100000000000001" customHeight="1">
      <c r="A167" s="347"/>
      <c r="B167" s="178" t="s">
        <v>145</v>
      </c>
      <c r="C167" s="37" t="s">
        <v>854</v>
      </c>
      <c r="D167" s="37" t="s">
        <v>153</v>
      </c>
      <c r="E167" s="183">
        <f>'Вед-я стр-ра'!H777</f>
        <v>4.57</v>
      </c>
      <c r="F167" s="183">
        <f>'Вед-я стр-ра'!I777</f>
        <v>0</v>
      </c>
      <c r="G167" s="183">
        <f>'Вед-я стр-ра'!J777</f>
        <v>0</v>
      </c>
      <c r="H167" s="183">
        <v>4.57</v>
      </c>
      <c r="I167" s="183">
        <v>0</v>
      </c>
      <c r="J167" s="183">
        <v>0</v>
      </c>
      <c r="K167" s="178" t="s">
        <v>145</v>
      </c>
      <c r="L167" s="37" t="s">
        <v>854</v>
      </c>
      <c r="M167" s="37" t="s">
        <v>153</v>
      </c>
      <c r="N167" s="183">
        <v>4.57</v>
      </c>
      <c r="O167" s="183">
        <v>0</v>
      </c>
      <c r="P167" s="183">
        <v>0</v>
      </c>
      <c r="Q167" s="101" t="b">
        <f t="shared" si="34"/>
        <v>1</v>
      </c>
      <c r="R167" s="101" t="b">
        <f t="shared" si="35"/>
        <v>1</v>
      </c>
      <c r="S167" s="101" t="b">
        <f t="shared" si="36"/>
        <v>1</v>
      </c>
      <c r="T167" s="167">
        <f t="shared" si="37"/>
        <v>0</v>
      </c>
      <c r="U167" s="167">
        <f t="shared" si="38"/>
        <v>0</v>
      </c>
      <c r="V167" s="167">
        <f t="shared" si="39"/>
        <v>0</v>
      </c>
    </row>
    <row r="168" spans="1:22" s="90" customFormat="1" ht="20.100000000000001" customHeight="1">
      <c r="A168" s="347"/>
      <c r="B168" s="180" t="s">
        <v>147</v>
      </c>
      <c r="C168" s="37" t="s">
        <v>854</v>
      </c>
      <c r="D168" s="37" t="s">
        <v>154</v>
      </c>
      <c r="E168" s="183">
        <f>'Вед-я стр-ра'!H778</f>
        <v>425</v>
      </c>
      <c r="F168" s="183">
        <f>'Вед-я стр-ра'!I778</f>
        <v>0</v>
      </c>
      <c r="G168" s="183">
        <f>'Вед-я стр-ра'!J778</f>
        <v>0</v>
      </c>
      <c r="H168" s="183">
        <v>425</v>
      </c>
      <c r="I168" s="183">
        <v>0</v>
      </c>
      <c r="J168" s="183">
        <v>0</v>
      </c>
      <c r="K168" s="180" t="s">
        <v>147</v>
      </c>
      <c r="L168" s="37" t="s">
        <v>854</v>
      </c>
      <c r="M168" s="37" t="s">
        <v>154</v>
      </c>
      <c r="N168" s="183">
        <v>425</v>
      </c>
      <c r="O168" s="183">
        <v>0</v>
      </c>
      <c r="P168" s="183">
        <v>0</v>
      </c>
      <c r="Q168" s="101" t="b">
        <f t="shared" si="34"/>
        <v>1</v>
      </c>
      <c r="R168" s="101" t="b">
        <f t="shared" si="35"/>
        <v>1</v>
      </c>
      <c r="S168" s="101" t="b">
        <f t="shared" si="36"/>
        <v>1</v>
      </c>
      <c r="T168" s="167">
        <f t="shared" si="37"/>
        <v>0</v>
      </c>
      <c r="U168" s="167">
        <f t="shared" si="38"/>
        <v>0</v>
      </c>
      <c r="V168" s="167">
        <f t="shared" si="39"/>
        <v>0</v>
      </c>
    </row>
    <row r="169" spans="1:22" s="90" customFormat="1" ht="20.100000000000001" customHeight="1">
      <c r="A169" s="347"/>
      <c r="B169" s="48" t="s">
        <v>973</v>
      </c>
      <c r="C169" s="37" t="s">
        <v>972</v>
      </c>
      <c r="D169" s="37" t="s">
        <v>90</v>
      </c>
      <c r="E169" s="183">
        <f>E170</f>
        <v>509452.29000000004</v>
      </c>
      <c r="F169" s="183">
        <f>F170</f>
        <v>0</v>
      </c>
      <c r="G169" s="183">
        <f>G170</f>
        <v>0</v>
      </c>
      <c r="H169" s="183">
        <v>506661.52</v>
      </c>
      <c r="I169" s="183">
        <v>56893.120000000003</v>
      </c>
      <c r="J169" s="183">
        <v>56893.120000000003</v>
      </c>
      <c r="K169" s="48" t="s">
        <v>973</v>
      </c>
      <c r="L169" s="37" t="s">
        <v>972</v>
      </c>
      <c r="M169" s="37" t="s">
        <v>90</v>
      </c>
      <c r="N169" s="183">
        <v>506661.52</v>
      </c>
      <c r="O169" s="183">
        <v>56893.120000000003</v>
      </c>
      <c r="P169" s="183">
        <v>56893.120000000003</v>
      </c>
      <c r="Q169" s="101" t="b">
        <f t="shared" si="34"/>
        <v>1</v>
      </c>
      <c r="R169" s="101" t="b">
        <f t="shared" si="35"/>
        <v>1</v>
      </c>
      <c r="S169" s="101" t="b">
        <f t="shared" si="36"/>
        <v>1</v>
      </c>
      <c r="T169" s="167">
        <f t="shared" si="37"/>
        <v>2790.7700000000186</v>
      </c>
      <c r="U169" s="167">
        <f t="shared" si="38"/>
        <v>-56893.120000000003</v>
      </c>
      <c r="V169" s="167">
        <f t="shared" si="39"/>
        <v>-56893.120000000003</v>
      </c>
    </row>
    <row r="170" spans="1:22" s="90" customFormat="1" ht="20.100000000000001" customHeight="1">
      <c r="A170" s="347"/>
      <c r="B170" s="515" t="s">
        <v>146</v>
      </c>
      <c r="C170" s="37" t="s">
        <v>972</v>
      </c>
      <c r="D170" s="517" t="s">
        <v>169</v>
      </c>
      <c r="E170" s="183">
        <f>'Вед-я стр-ра'!H780</f>
        <v>509452.29000000004</v>
      </c>
      <c r="F170" s="183">
        <f>'Вед-я стр-ра'!I780</f>
        <v>0</v>
      </c>
      <c r="G170" s="183">
        <f>'Вед-я стр-ра'!J780</f>
        <v>0</v>
      </c>
      <c r="H170" s="183">
        <v>506661.52</v>
      </c>
      <c r="I170" s="183">
        <v>56893.120000000003</v>
      </c>
      <c r="J170" s="183">
        <v>56893.120000000003</v>
      </c>
      <c r="K170" s="180" t="s">
        <v>147</v>
      </c>
      <c r="L170" s="37" t="s">
        <v>972</v>
      </c>
      <c r="M170" s="37" t="s">
        <v>154</v>
      </c>
      <c r="N170" s="183">
        <v>506661.52</v>
      </c>
      <c r="O170" s="183">
        <v>56893.120000000003</v>
      </c>
      <c r="P170" s="183">
        <v>56893.120000000003</v>
      </c>
      <c r="Q170" s="101" t="b">
        <f t="shared" si="34"/>
        <v>0</v>
      </c>
      <c r="R170" s="101" t="b">
        <f t="shared" si="35"/>
        <v>1</v>
      </c>
      <c r="S170" s="101" t="b">
        <f t="shared" si="36"/>
        <v>0</v>
      </c>
      <c r="T170" s="167">
        <f t="shared" si="37"/>
        <v>2790.7700000000186</v>
      </c>
      <c r="U170" s="167">
        <f t="shared" si="38"/>
        <v>-56893.120000000003</v>
      </c>
      <c r="V170" s="167">
        <f t="shared" si="39"/>
        <v>-56893.120000000003</v>
      </c>
    </row>
    <row r="171" spans="1:22" s="90" customFormat="1" ht="20.100000000000001" customHeight="1">
      <c r="A171" s="347"/>
      <c r="B171" s="182" t="s">
        <v>853</v>
      </c>
      <c r="C171" s="37" t="s">
        <v>852</v>
      </c>
      <c r="D171" s="37" t="s">
        <v>90</v>
      </c>
      <c r="E171" s="183">
        <f>E172</f>
        <v>220289.09000000003</v>
      </c>
      <c r="F171" s="183">
        <f t="shared" ref="F171:G171" si="42">F172</f>
        <v>138328.26</v>
      </c>
      <c r="G171" s="183">
        <f t="shared" si="42"/>
        <v>49755.360000000001</v>
      </c>
      <c r="H171" s="183">
        <v>192309.64</v>
      </c>
      <c r="I171" s="183">
        <v>121790.87</v>
      </c>
      <c r="J171" s="183">
        <v>49353.65</v>
      </c>
      <c r="K171" s="182" t="s">
        <v>853</v>
      </c>
      <c r="L171" s="37" t="s">
        <v>852</v>
      </c>
      <c r="M171" s="37" t="s">
        <v>90</v>
      </c>
      <c r="N171" s="183">
        <v>192309.64</v>
      </c>
      <c r="O171" s="183">
        <v>121790.87</v>
      </c>
      <c r="P171" s="183">
        <v>49353.65</v>
      </c>
      <c r="Q171" s="101" t="b">
        <f t="shared" si="34"/>
        <v>1</v>
      </c>
      <c r="R171" s="101" t="b">
        <f t="shared" si="35"/>
        <v>1</v>
      </c>
      <c r="S171" s="101" t="b">
        <f t="shared" si="36"/>
        <v>1</v>
      </c>
      <c r="T171" s="167">
        <f t="shared" si="37"/>
        <v>27979.450000000012</v>
      </c>
      <c r="U171" s="167">
        <f t="shared" si="38"/>
        <v>16537.390000000014</v>
      </c>
      <c r="V171" s="167">
        <f t="shared" si="39"/>
        <v>401.70999999999913</v>
      </c>
    </row>
    <row r="172" spans="1:22" s="90" customFormat="1" ht="20.100000000000001" customHeight="1">
      <c r="A172" s="347"/>
      <c r="B172" s="48" t="s">
        <v>951</v>
      </c>
      <c r="C172" s="37" t="s">
        <v>855</v>
      </c>
      <c r="D172" s="37" t="s">
        <v>90</v>
      </c>
      <c r="E172" s="183">
        <f>E173</f>
        <v>220289.09000000003</v>
      </c>
      <c r="F172" s="183">
        <f>F173</f>
        <v>138328.26</v>
      </c>
      <c r="G172" s="183">
        <f>G173</f>
        <v>49755.360000000001</v>
      </c>
      <c r="H172" s="183">
        <v>192309.64</v>
      </c>
      <c r="I172" s="183">
        <v>121790.87</v>
      </c>
      <c r="J172" s="183">
        <v>49353.65</v>
      </c>
      <c r="K172" s="48" t="s">
        <v>951</v>
      </c>
      <c r="L172" s="37" t="s">
        <v>855</v>
      </c>
      <c r="M172" s="37" t="s">
        <v>90</v>
      </c>
      <c r="N172" s="183">
        <v>192309.64</v>
      </c>
      <c r="O172" s="183">
        <v>121790.87</v>
      </c>
      <c r="P172" s="183">
        <v>49353.65</v>
      </c>
      <c r="Q172" s="101" t="b">
        <f t="shared" si="34"/>
        <v>1</v>
      </c>
      <c r="R172" s="101" t="b">
        <f t="shared" si="35"/>
        <v>1</v>
      </c>
      <c r="S172" s="101" t="b">
        <f t="shared" si="36"/>
        <v>1</v>
      </c>
      <c r="T172" s="167">
        <f t="shared" si="37"/>
        <v>27979.450000000012</v>
      </c>
      <c r="U172" s="167">
        <f t="shared" si="38"/>
        <v>16537.390000000014</v>
      </c>
      <c r="V172" s="167">
        <f t="shared" si="39"/>
        <v>401.70999999999913</v>
      </c>
    </row>
    <row r="173" spans="1:22" s="90" customFormat="1" ht="20.100000000000001" customHeight="1">
      <c r="A173" s="347"/>
      <c r="B173" s="23" t="s">
        <v>146</v>
      </c>
      <c r="C173" s="37" t="s">
        <v>855</v>
      </c>
      <c r="D173" s="37" t="s">
        <v>169</v>
      </c>
      <c r="E173" s="183">
        <f>'Вед-я стр-ра'!H783</f>
        <v>220289.09000000003</v>
      </c>
      <c r="F173" s="183">
        <f>'Вед-я стр-ра'!I783</f>
        <v>138328.26</v>
      </c>
      <c r="G173" s="183">
        <f>'Вед-я стр-ра'!J783</f>
        <v>49755.360000000001</v>
      </c>
      <c r="H173" s="183">
        <v>192309.64</v>
      </c>
      <c r="I173" s="183">
        <v>121790.87</v>
      </c>
      <c r="J173" s="183">
        <v>49353.65</v>
      </c>
      <c r="K173" s="23" t="s">
        <v>146</v>
      </c>
      <c r="L173" s="37" t="s">
        <v>855</v>
      </c>
      <c r="M173" s="37" t="s">
        <v>169</v>
      </c>
      <c r="N173" s="183">
        <v>192309.64</v>
      </c>
      <c r="O173" s="183">
        <v>121790.87</v>
      </c>
      <c r="P173" s="183">
        <v>49353.65</v>
      </c>
      <c r="Q173" s="101" t="b">
        <f t="shared" si="34"/>
        <v>1</v>
      </c>
      <c r="R173" s="101" t="b">
        <f t="shared" si="35"/>
        <v>1</v>
      </c>
      <c r="S173" s="101" t="b">
        <f t="shared" si="36"/>
        <v>1</v>
      </c>
      <c r="T173" s="167">
        <f t="shared" si="37"/>
        <v>27979.450000000012</v>
      </c>
      <c r="U173" s="167">
        <f t="shared" si="38"/>
        <v>16537.390000000014</v>
      </c>
      <c r="V173" s="167">
        <f t="shared" si="39"/>
        <v>401.70999999999913</v>
      </c>
    </row>
    <row r="174" spans="1:22" s="102" customFormat="1" ht="20.100000000000001" customHeight="1">
      <c r="A174" s="346"/>
      <c r="B174" s="28" t="s">
        <v>729</v>
      </c>
      <c r="C174" s="236" t="s">
        <v>314</v>
      </c>
      <c r="D174" s="236" t="s">
        <v>90</v>
      </c>
      <c r="E174" s="237">
        <f>E175+E202+E205+E208+E211+E217+E214</f>
        <v>59461.159999999996</v>
      </c>
      <c r="F174" s="237">
        <f>F175+F202+F205+F208+F211+F217+F214</f>
        <v>59266.939999999995</v>
      </c>
      <c r="G174" s="237">
        <f>G175+G202+G205+G208+G211+G217+G214</f>
        <v>59266.939999999995</v>
      </c>
      <c r="H174" s="237">
        <v>59461.159999999996</v>
      </c>
      <c r="I174" s="237">
        <v>59266.939999999995</v>
      </c>
      <c r="J174" s="237">
        <v>59266.939999999995</v>
      </c>
      <c r="K174" s="28" t="s">
        <v>729</v>
      </c>
      <c r="L174" s="236" t="s">
        <v>314</v>
      </c>
      <c r="M174" s="236" t="s">
        <v>90</v>
      </c>
      <c r="N174" s="237">
        <v>59461.159999999996</v>
      </c>
      <c r="O174" s="237">
        <v>59266.939999999995</v>
      </c>
      <c r="P174" s="237">
        <v>59266.939999999995</v>
      </c>
      <c r="Q174" s="101" t="b">
        <f t="shared" si="34"/>
        <v>1</v>
      </c>
      <c r="R174" s="101" t="b">
        <f t="shared" si="35"/>
        <v>1</v>
      </c>
      <c r="S174" s="101" t="b">
        <f t="shared" si="36"/>
        <v>1</v>
      </c>
      <c r="T174" s="167">
        <f t="shared" si="37"/>
        <v>0</v>
      </c>
      <c r="U174" s="167">
        <f t="shared" si="38"/>
        <v>0</v>
      </c>
      <c r="V174" s="167">
        <f t="shared" si="39"/>
        <v>0</v>
      </c>
    </row>
    <row r="175" spans="1:22" s="90" customFormat="1" ht="20.100000000000001" customHeight="1">
      <c r="A175" s="347"/>
      <c r="B175" s="180" t="s">
        <v>546</v>
      </c>
      <c r="C175" s="238" t="s">
        <v>376</v>
      </c>
      <c r="D175" s="239" t="s">
        <v>90</v>
      </c>
      <c r="E175" s="244">
        <f>E176+E178+E182+E184+E186+E188+E192+E194+E196+E180+E190+E198+E200</f>
        <v>37851.719999999994</v>
      </c>
      <c r="F175" s="244">
        <f t="shared" ref="F175:G175" si="43">F176+F178+F182+F184+F186+F188+F192+F194+F196+F180+F190+F198+F200</f>
        <v>37799.799999999996</v>
      </c>
      <c r="G175" s="244">
        <f t="shared" si="43"/>
        <v>37799.799999999996</v>
      </c>
      <c r="H175" s="244">
        <v>37851.719999999994</v>
      </c>
      <c r="I175" s="244">
        <v>37799.799999999996</v>
      </c>
      <c r="J175" s="244">
        <v>37799.799999999996</v>
      </c>
      <c r="K175" s="180" t="s">
        <v>546</v>
      </c>
      <c r="L175" s="238" t="s">
        <v>376</v>
      </c>
      <c r="M175" s="239" t="s">
        <v>90</v>
      </c>
      <c r="N175" s="244">
        <v>37851.719999999994</v>
      </c>
      <c r="O175" s="244">
        <v>37799.799999999996</v>
      </c>
      <c r="P175" s="244">
        <v>37799.799999999996</v>
      </c>
      <c r="Q175" s="101" t="b">
        <f t="shared" si="34"/>
        <v>1</v>
      </c>
      <c r="R175" s="101" t="b">
        <f t="shared" si="35"/>
        <v>1</v>
      </c>
      <c r="S175" s="101" t="b">
        <f t="shared" si="36"/>
        <v>1</v>
      </c>
      <c r="T175" s="167">
        <f t="shared" si="37"/>
        <v>0</v>
      </c>
      <c r="U175" s="167">
        <f t="shared" si="38"/>
        <v>0</v>
      </c>
      <c r="V175" s="167">
        <f t="shared" si="39"/>
        <v>0</v>
      </c>
    </row>
    <row r="176" spans="1:22" s="90" customFormat="1" ht="20.100000000000001" customHeight="1">
      <c r="A176" s="347"/>
      <c r="B176" s="178" t="s">
        <v>948</v>
      </c>
      <c r="C176" s="238" t="s">
        <v>377</v>
      </c>
      <c r="D176" s="239" t="s">
        <v>90</v>
      </c>
      <c r="E176" s="244">
        <f>E177</f>
        <v>4049.51</v>
      </c>
      <c r="F176" s="244">
        <f>F177</f>
        <v>4049.51</v>
      </c>
      <c r="G176" s="244">
        <f>G177</f>
        <v>4049.51</v>
      </c>
      <c r="H176" s="244">
        <v>4049.51</v>
      </c>
      <c r="I176" s="244">
        <v>4049.51</v>
      </c>
      <c r="J176" s="244">
        <v>4049.51</v>
      </c>
      <c r="K176" s="178" t="s">
        <v>948</v>
      </c>
      <c r="L176" s="238" t="s">
        <v>377</v>
      </c>
      <c r="M176" s="239" t="s">
        <v>90</v>
      </c>
      <c r="N176" s="244">
        <v>4049.51</v>
      </c>
      <c r="O176" s="244">
        <v>4049.51</v>
      </c>
      <c r="P176" s="244">
        <v>4049.51</v>
      </c>
      <c r="Q176" s="101" t="b">
        <f t="shared" si="34"/>
        <v>1</v>
      </c>
      <c r="R176" s="101" t="b">
        <f t="shared" si="35"/>
        <v>1</v>
      </c>
      <c r="S176" s="101" t="b">
        <f t="shared" si="36"/>
        <v>1</v>
      </c>
      <c r="T176" s="167">
        <f t="shared" si="37"/>
        <v>0</v>
      </c>
      <c r="U176" s="167">
        <f t="shared" si="38"/>
        <v>0</v>
      </c>
      <c r="V176" s="167">
        <f t="shared" si="39"/>
        <v>0</v>
      </c>
    </row>
    <row r="177" spans="1:22" s="90" customFormat="1" ht="20.100000000000001" customHeight="1">
      <c r="A177" s="347"/>
      <c r="B177" s="178" t="s">
        <v>146</v>
      </c>
      <c r="C177" s="238" t="s">
        <v>377</v>
      </c>
      <c r="D177" s="239" t="s">
        <v>169</v>
      </c>
      <c r="E177" s="244">
        <f>'Вед-я стр-ра'!H723</f>
        <v>4049.51</v>
      </c>
      <c r="F177" s="244">
        <f>'Вед-я стр-ра'!I723</f>
        <v>4049.51</v>
      </c>
      <c r="G177" s="244">
        <f>'Вед-я стр-ра'!J723</f>
        <v>4049.51</v>
      </c>
      <c r="H177" s="244">
        <v>4049.51</v>
      </c>
      <c r="I177" s="244">
        <v>4049.51</v>
      </c>
      <c r="J177" s="244">
        <v>4049.51</v>
      </c>
      <c r="K177" s="178" t="s">
        <v>146</v>
      </c>
      <c r="L177" s="238" t="s">
        <v>377</v>
      </c>
      <c r="M177" s="239" t="s">
        <v>169</v>
      </c>
      <c r="N177" s="244">
        <v>4049.51</v>
      </c>
      <c r="O177" s="244">
        <v>4049.51</v>
      </c>
      <c r="P177" s="244">
        <v>4049.51</v>
      </c>
      <c r="Q177" s="101" t="b">
        <f t="shared" si="34"/>
        <v>1</v>
      </c>
      <c r="R177" s="101" t="b">
        <f t="shared" si="35"/>
        <v>1</v>
      </c>
      <c r="S177" s="101" t="b">
        <f t="shared" si="36"/>
        <v>1</v>
      </c>
      <c r="T177" s="167">
        <f t="shared" si="37"/>
        <v>0</v>
      </c>
      <c r="U177" s="167">
        <f t="shared" si="38"/>
        <v>0</v>
      </c>
      <c r="V177" s="167">
        <f t="shared" si="39"/>
        <v>0</v>
      </c>
    </row>
    <row r="178" spans="1:22" s="90" customFormat="1" ht="20.100000000000001" customHeight="1">
      <c r="A178" s="347"/>
      <c r="B178" s="178" t="s">
        <v>378</v>
      </c>
      <c r="C178" s="238" t="s">
        <v>379</v>
      </c>
      <c r="D178" s="239" t="s">
        <v>90</v>
      </c>
      <c r="E178" s="244">
        <f>E179</f>
        <v>18326.63</v>
      </c>
      <c r="F178" s="244">
        <f>F179</f>
        <v>18326.63</v>
      </c>
      <c r="G178" s="244">
        <f>G179</f>
        <v>18326.63</v>
      </c>
      <c r="H178" s="244">
        <v>18326.63</v>
      </c>
      <c r="I178" s="244">
        <v>18326.63</v>
      </c>
      <c r="J178" s="244">
        <v>18326.63</v>
      </c>
      <c r="K178" s="178" t="s">
        <v>378</v>
      </c>
      <c r="L178" s="238" t="s">
        <v>379</v>
      </c>
      <c r="M178" s="239" t="s">
        <v>90</v>
      </c>
      <c r="N178" s="244">
        <v>18326.63</v>
      </c>
      <c r="O178" s="244">
        <v>18326.63</v>
      </c>
      <c r="P178" s="244">
        <v>18326.63</v>
      </c>
      <c r="Q178" s="101" t="b">
        <f t="shared" si="34"/>
        <v>1</v>
      </c>
      <c r="R178" s="101" t="b">
        <f t="shared" si="35"/>
        <v>1</v>
      </c>
      <c r="S178" s="101" t="b">
        <f t="shared" si="36"/>
        <v>1</v>
      </c>
      <c r="T178" s="167">
        <f t="shared" si="37"/>
        <v>0</v>
      </c>
      <c r="U178" s="167">
        <f t="shared" si="38"/>
        <v>0</v>
      </c>
      <c r="V178" s="167">
        <f t="shared" si="39"/>
        <v>0</v>
      </c>
    </row>
    <row r="179" spans="1:22" s="90" customFormat="1" ht="20.100000000000001" customHeight="1">
      <c r="A179" s="347"/>
      <c r="B179" s="178" t="s">
        <v>146</v>
      </c>
      <c r="C179" s="238" t="s">
        <v>379</v>
      </c>
      <c r="D179" s="239" t="s">
        <v>169</v>
      </c>
      <c r="E179" s="244">
        <f>'Вед-я стр-ра'!H725</f>
        <v>18326.63</v>
      </c>
      <c r="F179" s="244">
        <f>'Вед-я стр-ра'!I725</f>
        <v>18326.63</v>
      </c>
      <c r="G179" s="244">
        <f>'Вед-я стр-ра'!J725</f>
        <v>18326.63</v>
      </c>
      <c r="H179" s="244">
        <v>18326.63</v>
      </c>
      <c r="I179" s="244">
        <v>18326.63</v>
      </c>
      <c r="J179" s="244">
        <v>18326.63</v>
      </c>
      <c r="K179" s="178" t="s">
        <v>146</v>
      </c>
      <c r="L179" s="238" t="s">
        <v>379</v>
      </c>
      <c r="M179" s="239" t="s">
        <v>169</v>
      </c>
      <c r="N179" s="244">
        <v>18326.63</v>
      </c>
      <c r="O179" s="244">
        <v>18326.63</v>
      </c>
      <c r="P179" s="244">
        <v>18326.63</v>
      </c>
      <c r="Q179" s="101" t="b">
        <f t="shared" si="34"/>
        <v>1</v>
      </c>
      <c r="R179" s="101" t="b">
        <f t="shared" si="35"/>
        <v>1</v>
      </c>
      <c r="S179" s="101" t="b">
        <f t="shared" si="36"/>
        <v>1</v>
      </c>
      <c r="T179" s="167">
        <f t="shared" si="37"/>
        <v>0</v>
      </c>
      <c r="U179" s="167">
        <f t="shared" si="38"/>
        <v>0</v>
      </c>
      <c r="V179" s="167">
        <f t="shared" si="39"/>
        <v>0</v>
      </c>
    </row>
    <row r="180" spans="1:22" s="90" customFormat="1" ht="20.100000000000001" customHeight="1">
      <c r="A180" s="347"/>
      <c r="B180" s="48" t="s">
        <v>782</v>
      </c>
      <c r="C180" s="37" t="s">
        <v>787</v>
      </c>
      <c r="D180" s="37" t="s">
        <v>90</v>
      </c>
      <c r="E180" s="244">
        <f>E181</f>
        <v>938.17</v>
      </c>
      <c r="F180" s="244">
        <f>F181</f>
        <v>938.17</v>
      </c>
      <c r="G180" s="244">
        <f>G181</f>
        <v>938.17</v>
      </c>
      <c r="H180" s="244">
        <v>938.17</v>
      </c>
      <c r="I180" s="244">
        <v>938.17</v>
      </c>
      <c r="J180" s="244">
        <v>938.17</v>
      </c>
      <c r="K180" s="48" t="s">
        <v>782</v>
      </c>
      <c r="L180" s="37" t="s">
        <v>787</v>
      </c>
      <c r="M180" s="37" t="s">
        <v>90</v>
      </c>
      <c r="N180" s="244">
        <v>938.17</v>
      </c>
      <c r="O180" s="244">
        <v>938.17</v>
      </c>
      <c r="P180" s="244">
        <v>938.17</v>
      </c>
      <c r="Q180" s="101" t="b">
        <f t="shared" si="34"/>
        <v>1</v>
      </c>
      <c r="R180" s="101" t="b">
        <f t="shared" si="35"/>
        <v>1</v>
      </c>
      <c r="S180" s="101" t="b">
        <f t="shared" si="36"/>
        <v>1</v>
      </c>
      <c r="T180" s="167">
        <f t="shared" si="37"/>
        <v>0</v>
      </c>
      <c r="U180" s="167">
        <f t="shared" si="38"/>
        <v>0</v>
      </c>
      <c r="V180" s="167">
        <f t="shared" si="39"/>
        <v>0</v>
      </c>
    </row>
    <row r="181" spans="1:22" s="90" customFormat="1" ht="20.100000000000001" customHeight="1">
      <c r="A181" s="347"/>
      <c r="B181" s="23" t="s">
        <v>147</v>
      </c>
      <c r="C181" s="37" t="s">
        <v>787</v>
      </c>
      <c r="D181" s="37" t="s">
        <v>154</v>
      </c>
      <c r="E181" s="244">
        <f>'Вед-я стр-ра'!H727</f>
        <v>938.17</v>
      </c>
      <c r="F181" s="244">
        <f>'Вед-я стр-ра'!I727</f>
        <v>938.17</v>
      </c>
      <c r="G181" s="244">
        <f>'Вед-я стр-ра'!J727</f>
        <v>938.17</v>
      </c>
      <c r="H181" s="244">
        <v>938.17</v>
      </c>
      <c r="I181" s="244">
        <v>938.17</v>
      </c>
      <c r="J181" s="244">
        <v>938.17</v>
      </c>
      <c r="K181" s="23" t="s">
        <v>147</v>
      </c>
      <c r="L181" s="37" t="s">
        <v>787</v>
      </c>
      <c r="M181" s="37" t="s">
        <v>154</v>
      </c>
      <c r="N181" s="244">
        <v>938.17</v>
      </c>
      <c r="O181" s="244">
        <v>938.17</v>
      </c>
      <c r="P181" s="244">
        <v>938.17</v>
      </c>
      <c r="Q181" s="101" t="b">
        <f t="shared" si="34"/>
        <v>1</v>
      </c>
      <c r="R181" s="101" t="b">
        <f t="shared" si="35"/>
        <v>1</v>
      </c>
      <c r="S181" s="101" t="b">
        <f t="shared" si="36"/>
        <v>1</v>
      </c>
      <c r="T181" s="167">
        <f t="shared" si="37"/>
        <v>0</v>
      </c>
      <c r="U181" s="167">
        <f t="shared" si="38"/>
        <v>0</v>
      </c>
      <c r="V181" s="167">
        <f t="shared" si="39"/>
        <v>0</v>
      </c>
    </row>
    <row r="182" spans="1:22" s="90" customFormat="1" ht="20.100000000000001" customHeight="1">
      <c r="A182" s="347"/>
      <c r="B182" s="178" t="s">
        <v>380</v>
      </c>
      <c r="C182" s="238" t="s">
        <v>381</v>
      </c>
      <c r="D182" s="239" t="s">
        <v>90</v>
      </c>
      <c r="E182" s="244">
        <f>E183</f>
        <v>7289.12</v>
      </c>
      <c r="F182" s="244">
        <f>F183</f>
        <v>7289.12</v>
      </c>
      <c r="G182" s="244">
        <f>G183</f>
        <v>7289.12</v>
      </c>
      <c r="H182" s="244">
        <v>7289.12</v>
      </c>
      <c r="I182" s="244">
        <v>7289.12</v>
      </c>
      <c r="J182" s="244">
        <v>7289.12</v>
      </c>
      <c r="K182" s="178" t="s">
        <v>380</v>
      </c>
      <c r="L182" s="238" t="s">
        <v>381</v>
      </c>
      <c r="M182" s="239" t="s">
        <v>90</v>
      </c>
      <c r="N182" s="244">
        <v>7289.12</v>
      </c>
      <c r="O182" s="244">
        <v>7289.12</v>
      </c>
      <c r="P182" s="244">
        <v>7289.12</v>
      </c>
      <c r="Q182" s="101" t="b">
        <f t="shared" si="34"/>
        <v>1</v>
      </c>
      <c r="R182" s="101" t="b">
        <f t="shared" si="35"/>
        <v>1</v>
      </c>
      <c r="S182" s="101" t="b">
        <f t="shared" si="36"/>
        <v>1</v>
      </c>
      <c r="T182" s="167">
        <f t="shared" si="37"/>
        <v>0</v>
      </c>
      <c r="U182" s="167">
        <f t="shared" si="38"/>
        <v>0</v>
      </c>
      <c r="V182" s="167">
        <f t="shared" si="39"/>
        <v>0</v>
      </c>
    </row>
    <row r="183" spans="1:22" s="90" customFormat="1" ht="20.100000000000001" customHeight="1">
      <c r="A183" s="347"/>
      <c r="B183" s="178" t="s">
        <v>146</v>
      </c>
      <c r="C183" s="238" t="s">
        <v>381</v>
      </c>
      <c r="D183" s="239" t="s">
        <v>169</v>
      </c>
      <c r="E183" s="244">
        <f>'Вед-я стр-ра'!H729</f>
        <v>7289.12</v>
      </c>
      <c r="F183" s="244">
        <f>'Вед-я стр-ра'!I729</f>
        <v>7289.12</v>
      </c>
      <c r="G183" s="244">
        <f>'Вед-я стр-ра'!J729</f>
        <v>7289.12</v>
      </c>
      <c r="H183" s="244">
        <v>7289.12</v>
      </c>
      <c r="I183" s="244">
        <v>7289.12</v>
      </c>
      <c r="J183" s="244">
        <v>7289.12</v>
      </c>
      <c r="K183" s="178" t="s">
        <v>146</v>
      </c>
      <c r="L183" s="238" t="s">
        <v>381</v>
      </c>
      <c r="M183" s="239" t="s">
        <v>169</v>
      </c>
      <c r="N183" s="244">
        <v>7289.12</v>
      </c>
      <c r="O183" s="244">
        <v>7289.12</v>
      </c>
      <c r="P183" s="244">
        <v>7289.12</v>
      </c>
      <c r="Q183" s="101" t="b">
        <f t="shared" ref="Q183:Q246" si="44">B183=K183</f>
        <v>1</v>
      </c>
      <c r="R183" s="101" t="b">
        <f t="shared" ref="R183:R246" si="45">C183=L183</f>
        <v>1</v>
      </c>
      <c r="S183" s="101" t="b">
        <f t="shared" ref="S183:S246" si="46">D183=M183</f>
        <v>1</v>
      </c>
      <c r="T183" s="167">
        <f t="shared" ref="T183:T246" si="47">E183-N183</f>
        <v>0</v>
      </c>
      <c r="U183" s="167">
        <f t="shared" ref="U183:U246" si="48">F183-O183</f>
        <v>0</v>
      </c>
      <c r="V183" s="167">
        <f t="shared" ref="V183:V246" si="49">G183-P183</f>
        <v>0</v>
      </c>
    </row>
    <row r="184" spans="1:22" s="90" customFormat="1" ht="20.100000000000001" customHeight="1">
      <c r="A184" s="347"/>
      <c r="B184" s="178" t="s">
        <v>382</v>
      </c>
      <c r="C184" s="238" t="s">
        <v>383</v>
      </c>
      <c r="D184" s="239" t="s">
        <v>90</v>
      </c>
      <c r="E184" s="244">
        <f>E185</f>
        <v>1470.87</v>
      </c>
      <c r="F184" s="244">
        <f>F185</f>
        <v>1470.87</v>
      </c>
      <c r="G184" s="244">
        <f>G185</f>
        <v>1470.87</v>
      </c>
      <c r="H184" s="244">
        <v>1470.87</v>
      </c>
      <c r="I184" s="244">
        <v>1470.87</v>
      </c>
      <c r="J184" s="244">
        <v>1470.87</v>
      </c>
      <c r="K184" s="178" t="s">
        <v>382</v>
      </c>
      <c r="L184" s="238" t="s">
        <v>383</v>
      </c>
      <c r="M184" s="239" t="s">
        <v>90</v>
      </c>
      <c r="N184" s="244">
        <v>1470.87</v>
      </c>
      <c r="O184" s="244">
        <v>1470.87</v>
      </c>
      <c r="P184" s="244">
        <v>1470.87</v>
      </c>
      <c r="Q184" s="101" t="b">
        <f t="shared" si="44"/>
        <v>1</v>
      </c>
      <c r="R184" s="101" t="b">
        <f t="shared" si="45"/>
        <v>1</v>
      </c>
      <c r="S184" s="101" t="b">
        <f t="shared" si="46"/>
        <v>1</v>
      </c>
      <c r="T184" s="167">
        <f t="shared" si="47"/>
        <v>0</v>
      </c>
      <c r="U184" s="167">
        <f t="shared" si="48"/>
        <v>0</v>
      </c>
      <c r="V184" s="167">
        <f t="shared" si="49"/>
        <v>0</v>
      </c>
    </row>
    <row r="185" spans="1:22" s="90" customFormat="1" ht="20.100000000000001" customHeight="1">
      <c r="A185" s="347"/>
      <c r="B185" s="178" t="s">
        <v>146</v>
      </c>
      <c r="C185" s="238" t="s">
        <v>383</v>
      </c>
      <c r="D185" s="239" t="s">
        <v>169</v>
      </c>
      <c r="E185" s="244">
        <f>'Вед-я стр-ра'!H731</f>
        <v>1470.87</v>
      </c>
      <c r="F185" s="244">
        <f>'Вед-я стр-ра'!I731</f>
        <v>1470.87</v>
      </c>
      <c r="G185" s="244">
        <f>'Вед-я стр-ра'!J731</f>
        <v>1470.87</v>
      </c>
      <c r="H185" s="244">
        <v>1470.87</v>
      </c>
      <c r="I185" s="244">
        <v>1470.87</v>
      </c>
      <c r="J185" s="244">
        <v>1470.87</v>
      </c>
      <c r="K185" s="178" t="s">
        <v>146</v>
      </c>
      <c r="L185" s="238" t="s">
        <v>383</v>
      </c>
      <c r="M185" s="239" t="s">
        <v>169</v>
      </c>
      <c r="N185" s="244">
        <v>1470.87</v>
      </c>
      <c r="O185" s="244">
        <v>1470.87</v>
      </c>
      <c r="P185" s="244">
        <v>1470.87</v>
      </c>
      <c r="Q185" s="101" t="b">
        <f t="shared" si="44"/>
        <v>1</v>
      </c>
      <c r="R185" s="101" t="b">
        <f t="shared" si="45"/>
        <v>1</v>
      </c>
      <c r="S185" s="101" t="b">
        <f t="shared" si="46"/>
        <v>1</v>
      </c>
      <c r="T185" s="167">
        <f t="shared" si="47"/>
        <v>0</v>
      </c>
      <c r="U185" s="167">
        <f t="shared" si="48"/>
        <v>0</v>
      </c>
      <c r="V185" s="167">
        <f t="shared" si="49"/>
        <v>0</v>
      </c>
    </row>
    <row r="186" spans="1:22" s="90" customFormat="1" ht="20.100000000000001" customHeight="1">
      <c r="A186" s="347"/>
      <c r="B186" s="178" t="s">
        <v>384</v>
      </c>
      <c r="C186" s="238" t="s">
        <v>385</v>
      </c>
      <c r="D186" s="239" t="s">
        <v>90</v>
      </c>
      <c r="E186" s="244">
        <f t="shared" ref="E186:G186" si="50">E187</f>
        <v>1153.51</v>
      </c>
      <c r="F186" s="244">
        <f t="shared" si="50"/>
        <v>1153.51</v>
      </c>
      <c r="G186" s="244">
        <f t="shared" si="50"/>
        <v>1153.51</v>
      </c>
      <c r="H186" s="244">
        <v>1153.51</v>
      </c>
      <c r="I186" s="244">
        <v>1153.51</v>
      </c>
      <c r="J186" s="244">
        <v>1153.51</v>
      </c>
      <c r="K186" s="178" t="s">
        <v>384</v>
      </c>
      <c r="L186" s="238" t="s">
        <v>385</v>
      </c>
      <c r="M186" s="239" t="s">
        <v>90</v>
      </c>
      <c r="N186" s="244">
        <v>1153.51</v>
      </c>
      <c r="O186" s="244">
        <v>1153.51</v>
      </c>
      <c r="P186" s="244">
        <v>1153.51</v>
      </c>
      <c r="Q186" s="101" t="b">
        <f t="shared" si="44"/>
        <v>1</v>
      </c>
      <c r="R186" s="101" t="b">
        <f t="shared" si="45"/>
        <v>1</v>
      </c>
      <c r="S186" s="101" t="b">
        <f t="shared" si="46"/>
        <v>1</v>
      </c>
      <c r="T186" s="167">
        <f t="shared" si="47"/>
        <v>0</v>
      </c>
      <c r="U186" s="167">
        <f t="shared" si="48"/>
        <v>0</v>
      </c>
      <c r="V186" s="167">
        <f t="shared" si="49"/>
        <v>0</v>
      </c>
    </row>
    <row r="187" spans="1:22" s="90" customFormat="1" ht="20.100000000000001" customHeight="1">
      <c r="A187" s="347"/>
      <c r="B187" s="178" t="s">
        <v>146</v>
      </c>
      <c r="C187" s="238" t="s">
        <v>385</v>
      </c>
      <c r="D187" s="239" t="s">
        <v>169</v>
      </c>
      <c r="E187" s="244">
        <f>'Вед-я стр-ра'!H733</f>
        <v>1153.51</v>
      </c>
      <c r="F187" s="244">
        <f>'Вед-я стр-ра'!I733</f>
        <v>1153.51</v>
      </c>
      <c r="G187" s="244">
        <f>'Вед-я стр-ра'!J733</f>
        <v>1153.51</v>
      </c>
      <c r="H187" s="244">
        <v>1153.51</v>
      </c>
      <c r="I187" s="244">
        <v>1153.51</v>
      </c>
      <c r="J187" s="244">
        <v>1153.51</v>
      </c>
      <c r="K187" s="178" t="s">
        <v>146</v>
      </c>
      <c r="L187" s="238" t="s">
        <v>385</v>
      </c>
      <c r="M187" s="239" t="s">
        <v>169</v>
      </c>
      <c r="N187" s="244">
        <v>1153.51</v>
      </c>
      <c r="O187" s="244">
        <v>1153.51</v>
      </c>
      <c r="P187" s="244">
        <v>1153.51</v>
      </c>
      <c r="Q187" s="101" t="b">
        <f t="shared" si="44"/>
        <v>1</v>
      </c>
      <c r="R187" s="101" t="b">
        <f t="shared" si="45"/>
        <v>1</v>
      </c>
      <c r="S187" s="101" t="b">
        <f t="shared" si="46"/>
        <v>1</v>
      </c>
      <c r="T187" s="167">
        <f t="shared" si="47"/>
        <v>0</v>
      </c>
      <c r="U187" s="167">
        <f t="shared" si="48"/>
        <v>0</v>
      </c>
      <c r="V187" s="167">
        <f t="shared" si="49"/>
        <v>0</v>
      </c>
    </row>
    <row r="188" spans="1:22" s="90" customFormat="1" ht="20.100000000000001" customHeight="1">
      <c r="A188" s="347"/>
      <c r="B188" s="178" t="s">
        <v>386</v>
      </c>
      <c r="C188" s="238" t="s">
        <v>387</v>
      </c>
      <c r="D188" s="239" t="s">
        <v>90</v>
      </c>
      <c r="E188" s="244">
        <f>E189</f>
        <v>699.84</v>
      </c>
      <c r="F188" s="244">
        <f>F189</f>
        <v>647.91999999999996</v>
      </c>
      <c r="G188" s="244">
        <f>G189</f>
        <v>647.91999999999996</v>
      </c>
      <c r="H188" s="244">
        <v>699.84</v>
      </c>
      <c r="I188" s="244">
        <v>647.91999999999996</v>
      </c>
      <c r="J188" s="244">
        <v>647.91999999999996</v>
      </c>
      <c r="K188" s="178" t="s">
        <v>386</v>
      </c>
      <c r="L188" s="238" t="s">
        <v>387</v>
      </c>
      <c r="M188" s="239" t="s">
        <v>90</v>
      </c>
      <c r="N188" s="244">
        <v>699.84</v>
      </c>
      <c r="O188" s="244">
        <v>647.91999999999996</v>
      </c>
      <c r="P188" s="244">
        <v>647.91999999999996</v>
      </c>
      <c r="Q188" s="101" t="b">
        <f t="shared" si="44"/>
        <v>1</v>
      </c>
      <c r="R188" s="101" t="b">
        <f t="shared" si="45"/>
        <v>1</v>
      </c>
      <c r="S188" s="101" t="b">
        <f t="shared" si="46"/>
        <v>1</v>
      </c>
      <c r="T188" s="167">
        <f t="shared" si="47"/>
        <v>0</v>
      </c>
      <c r="U188" s="167">
        <f t="shared" si="48"/>
        <v>0</v>
      </c>
      <c r="V188" s="167">
        <f t="shared" si="49"/>
        <v>0</v>
      </c>
    </row>
    <row r="189" spans="1:22" s="90" customFormat="1" ht="20.100000000000001" customHeight="1">
      <c r="A189" s="347"/>
      <c r="B189" s="178" t="s">
        <v>146</v>
      </c>
      <c r="C189" s="238" t="s">
        <v>387</v>
      </c>
      <c r="D189" s="239" t="s">
        <v>169</v>
      </c>
      <c r="E189" s="244">
        <f>'Вед-я стр-ра'!H735</f>
        <v>699.84</v>
      </c>
      <c r="F189" s="244">
        <f>'Вед-я стр-ра'!I735</f>
        <v>647.91999999999996</v>
      </c>
      <c r="G189" s="244">
        <f>'Вед-я стр-ра'!J735</f>
        <v>647.91999999999996</v>
      </c>
      <c r="H189" s="244">
        <v>699.84</v>
      </c>
      <c r="I189" s="244">
        <v>647.91999999999996</v>
      </c>
      <c r="J189" s="244">
        <v>647.91999999999996</v>
      </c>
      <c r="K189" s="178" t="s">
        <v>146</v>
      </c>
      <c r="L189" s="238" t="s">
        <v>387</v>
      </c>
      <c r="M189" s="239" t="s">
        <v>169</v>
      </c>
      <c r="N189" s="244">
        <v>699.84</v>
      </c>
      <c r="O189" s="244">
        <v>647.91999999999996</v>
      </c>
      <c r="P189" s="244">
        <v>647.91999999999996</v>
      </c>
      <c r="Q189" s="101" t="b">
        <f t="shared" si="44"/>
        <v>1</v>
      </c>
      <c r="R189" s="101" t="b">
        <f t="shared" si="45"/>
        <v>1</v>
      </c>
      <c r="S189" s="101" t="b">
        <f t="shared" si="46"/>
        <v>1</v>
      </c>
      <c r="T189" s="167">
        <f t="shared" si="47"/>
        <v>0</v>
      </c>
      <c r="U189" s="167">
        <f t="shared" si="48"/>
        <v>0</v>
      </c>
      <c r="V189" s="167">
        <f t="shared" si="49"/>
        <v>0</v>
      </c>
    </row>
    <row r="190" spans="1:22" s="90" customFormat="1" ht="20.100000000000001" customHeight="1">
      <c r="A190" s="347"/>
      <c r="B190" s="48" t="s">
        <v>802</v>
      </c>
      <c r="C190" s="37" t="s">
        <v>803</v>
      </c>
      <c r="D190" s="37" t="s">
        <v>90</v>
      </c>
      <c r="E190" s="244">
        <f>E191</f>
        <v>337.46</v>
      </c>
      <c r="F190" s="244">
        <f>F191</f>
        <v>337.46</v>
      </c>
      <c r="G190" s="244">
        <f>G191</f>
        <v>337.46</v>
      </c>
      <c r="H190" s="244">
        <v>337.46</v>
      </c>
      <c r="I190" s="244">
        <v>337.46</v>
      </c>
      <c r="J190" s="244">
        <v>337.46</v>
      </c>
      <c r="K190" s="48" t="s">
        <v>802</v>
      </c>
      <c r="L190" s="37" t="s">
        <v>803</v>
      </c>
      <c r="M190" s="37" t="s">
        <v>90</v>
      </c>
      <c r="N190" s="244">
        <v>337.46</v>
      </c>
      <c r="O190" s="244">
        <v>337.46</v>
      </c>
      <c r="P190" s="244">
        <v>337.46</v>
      </c>
      <c r="Q190" s="101" t="b">
        <f t="shared" si="44"/>
        <v>1</v>
      </c>
      <c r="R190" s="101" t="b">
        <f t="shared" si="45"/>
        <v>1</v>
      </c>
      <c r="S190" s="101" t="b">
        <f t="shared" si="46"/>
        <v>1</v>
      </c>
      <c r="T190" s="167">
        <f t="shared" si="47"/>
        <v>0</v>
      </c>
      <c r="U190" s="167">
        <f t="shared" si="48"/>
        <v>0</v>
      </c>
      <c r="V190" s="167">
        <f t="shared" si="49"/>
        <v>0</v>
      </c>
    </row>
    <row r="191" spans="1:22" s="90" customFormat="1" ht="20.100000000000001" customHeight="1">
      <c r="A191" s="347"/>
      <c r="B191" s="23" t="s">
        <v>146</v>
      </c>
      <c r="C191" s="37" t="s">
        <v>803</v>
      </c>
      <c r="D191" s="37" t="s">
        <v>169</v>
      </c>
      <c r="E191" s="244">
        <f>'Вед-я стр-ра'!H737</f>
        <v>337.46</v>
      </c>
      <c r="F191" s="244">
        <f>'Вед-я стр-ра'!I737</f>
        <v>337.46</v>
      </c>
      <c r="G191" s="244">
        <f>'Вед-я стр-ра'!J737</f>
        <v>337.46</v>
      </c>
      <c r="H191" s="244">
        <v>337.46</v>
      </c>
      <c r="I191" s="244">
        <v>337.46</v>
      </c>
      <c r="J191" s="244">
        <v>337.46</v>
      </c>
      <c r="K191" s="23" t="s">
        <v>146</v>
      </c>
      <c r="L191" s="37" t="s">
        <v>803</v>
      </c>
      <c r="M191" s="37" t="s">
        <v>169</v>
      </c>
      <c r="N191" s="244">
        <v>337.46</v>
      </c>
      <c r="O191" s="244">
        <v>337.46</v>
      </c>
      <c r="P191" s="244">
        <v>337.46</v>
      </c>
      <c r="Q191" s="101" t="b">
        <f t="shared" si="44"/>
        <v>1</v>
      </c>
      <c r="R191" s="101" t="b">
        <f t="shared" si="45"/>
        <v>1</v>
      </c>
      <c r="S191" s="101" t="b">
        <f t="shared" si="46"/>
        <v>1</v>
      </c>
      <c r="T191" s="167">
        <f t="shared" si="47"/>
        <v>0</v>
      </c>
      <c r="U191" s="167">
        <f t="shared" si="48"/>
        <v>0</v>
      </c>
      <c r="V191" s="167">
        <f t="shared" si="49"/>
        <v>0</v>
      </c>
    </row>
    <row r="192" spans="1:22" s="90" customFormat="1" ht="20.100000000000001" customHeight="1">
      <c r="A192" s="347"/>
      <c r="B192" s="178" t="s">
        <v>388</v>
      </c>
      <c r="C192" s="238" t="s">
        <v>389</v>
      </c>
      <c r="D192" s="239" t="s">
        <v>90</v>
      </c>
      <c r="E192" s="244">
        <f t="shared" ref="E192:G192" si="51">E193</f>
        <v>1124.8699999999999</v>
      </c>
      <c r="F192" s="244">
        <f t="shared" si="51"/>
        <v>1124.8699999999999</v>
      </c>
      <c r="G192" s="244">
        <f t="shared" si="51"/>
        <v>1124.8699999999999</v>
      </c>
      <c r="H192" s="244">
        <v>1124.8699999999999</v>
      </c>
      <c r="I192" s="244">
        <v>1124.8699999999999</v>
      </c>
      <c r="J192" s="244">
        <v>1124.8699999999999</v>
      </c>
      <c r="K192" s="178" t="s">
        <v>388</v>
      </c>
      <c r="L192" s="238" t="s">
        <v>389</v>
      </c>
      <c r="M192" s="239" t="s">
        <v>90</v>
      </c>
      <c r="N192" s="244">
        <v>1124.8699999999999</v>
      </c>
      <c r="O192" s="244">
        <v>1124.8699999999999</v>
      </c>
      <c r="P192" s="244">
        <v>1124.8699999999999</v>
      </c>
      <c r="Q192" s="101" t="b">
        <f t="shared" si="44"/>
        <v>1</v>
      </c>
      <c r="R192" s="101" t="b">
        <f t="shared" si="45"/>
        <v>1</v>
      </c>
      <c r="S192" s="101" t="b">
        <f t="shared" si="46"/>
        <v>1</v>
      </c>
      <c r="T192" s="167">
        <f t="shared" si="47"/>
        <v>0</v>
      </c>
      <c r="U192" s="167">
        <f t="shared" si="48"/>
        <v>0</v>
      </c>
      <c r="V192" s="167">
        <f t="shared" si="49"/>
        <v>0</v>
      </c>
    </row>
    <row r="193" spans="1:22" s="90" customFormat="1" ht="20.100000000000001" customHeight="1">
      <c r="A193" s="347"/>
      <c r="B193" s="178" t="s">
        <v>146</v>
      </c>
      <c r="C193" s="238" t="s">
        <v>389</v>
      </c>
      <c r="D193" s="239" t="s">
        <v>169</v>
      </c>
      <c r="E193" s="244">
        <f>'Вед-я стр-ра'!H739</f>
        <v>1124.8699999999999</v>
      </c>
      <c r="F193" s="244">
        <f>'Вед-я стр-ра'!I739</f>
        <v>1124.8699999999999</v>
      </c>
      <c r="G193" s="244">
        <f>'Вед-я стр-ра'!J739</f>
        <v>1124.8699999999999</v>
      </c>
      <c r="H193" s="244">
        <v>1124.8699999999999</v>
      </c>
      <c r="I193" s="244">
        <v>1124.8699999999999</v>
      </c>
      <c r="J193" s="244">
        <v>1124.8699999999999</v>
      </c>
      <c r="K193" s="178" t="s">
        <v>146</v>
      </c>
      <c r="L193" s="238" t="s">
        <v>389</v>
      </c>
      <c r="M193" s="239" t="s">
        <v>169</v>
      </c>
      <c r="N193" s="244">
        <v>1124.8699999999999</v>
      </c>
      <c r="O193" s="244">
        <v>1124.8699999999999</v>
      </c>
      <c r="P193" s="244">
        <v>1124.8699999999999</v>
      </c>
      <c r="Q193" s="101" t="b">
        <f t="shared" si="44"/>
        <v>1</v>
      </c>
      <c r="R193" s="101" t="b">
        <f t="shared" si="45"/>
        <v>1</v>
      </c>
      <c r="S193" s="101" t="b">
        <f t="shared" si="46"/>
        <v>1</v>
      </c>
      <c r="T193" s="167">
        <f t="shared" si="47"/>
        <v>0</v>
      </c>
      <c r="U193" s="167">
        <f t="shared" si="48"/>
        <v>0</v>
      </c>
      <c r="V193" s="167">
        <f t="shared" si="49"/>
        <v>0</v>
      </c>
    </row>
    <row r="194" spans="1:22" s="91" customFormat="1" ht="20.100000000000001" customHeight="1">
      <c r="A194" s="349"/>
      <c r="B194" s="178" t="s">
        <v>390</v>
      </c>
      <c r="C194" s="238" t="s">
        <v>391</v>
      </c>
      <c r="D194" s="239" t="s">
        <v>90</v>
      </c>
      <c r="E194" s="244">
        <f>E195</f>
        <v>2085.5</v>
      </c>
      <c r="F194" s="244">
        <f>F195</f>
        <v>2085.5</v>
      </c>
      <c r="G194" s="244">
        <f>G195</f>
        <v>2085.5</v>
      </c>
      <c r="H194" s="244">
        <v>2085.5</v>
      </c>
      <c r="I194" s="244">
        <v>2085.5</v>
      </c>
      <c r="J194" s="244">
        <v>2085.5</v>
      </c>
      <c r="K194" s="178" t="s">
        <v>390</v>
      </c>
      <c r="L194" s="238" t="s">
        <v>391</v>
      </c>
      <c r="M194" s="239" t="s">
        <v>90</v>
      </c>
      <c r="N194" s="244">
        <v>2085.5</v>
      </c>
      <c r="O194" s="244">
        <v>2085.5</v>
      </c>
      <c r="P194" s="244">
        <v>2085.5</v>
      </c>
      <c r="Q194" s="101" t="b">
        <f t="shared" si="44"/>
        <v>1</v>
      </c>
      <c r="R194" s="101" t="b">
        <f t="shared" si="45"/>
        <v>1</v>
      </c>
      <c r="S194" s="101" t="b">
        <f t="shared" si="46"/>
        <v>1</v>
      </c>
      <c r="T194" s="167">
        <f t="shared" si="47"/>
        <v>0</v>
      </c>
      <c r="U194" s="167">
        <f t="shared" si="48"/>
        <v>0</v>
      </c>
      <c r="V194" s="167">
        <f t="shared" si="49"/>
        <v>0</v>
      </c>
    </row>
    <row r="195" spans="1:22" s="91" customFormat="1" ht="20.100000000000001" customHeight="1">
      <c r="A195" s="349"/>
      <c r="B195" s="178" t="s">
        <v>146</v>
      </c>
      <c r="C195" s="238" t="s">
        <v>391</v>
      </c>
      <c r="D195" s="239" t="s">
        <v>169</v>
      </c>
      <c r="E195" s="244">
        <f>'Вед-я стр-ра'!H741</f>
        <v>2085.5</v>
      </c>
      <c r="F195" s="244">
        <f>'Вед-я стр-ра'!I741</f>
        <v>2085.5</v>
      </c>
      <c r="G195" s="244">
        <f>'Вед-я стр-ра'!J741</f>
        <v>2085.5</v>
      </c>
      <c r="H195" s="244">
        <v>2085.5</v>
      </c>
      <c r="I195" s="244">
        <v>2085.5</v>
      </c>
      <c r="J195" s="244">
        <v>2085.5</v>
      </c>
      <c r="K195" s="178" t="s">
        <v>146</v>
      </c>
      <c r="L195" s="238" t="s">
        <v>391</v>
      </c>
      <c r="M195" s="239" t="s">
        <v>169</v>
      </c>
      <c r="N195" s="244">
        <v>2085.5</v>
      </c>
      <c r="O195" s="244">
        <v>2085.5</v>
      </c>
      <c r="P195" s="244">
        <v>2085.5</v>
      </c>
      <c r="Q195" s="101" t="b">
        <f t="shared" si="44"/>
        <v>1</v>
      </c>
      <c r="R195" s="101" t="b">
        <f t="shared" si="45"/>
        <v>1</v>
      </c>
      <c r="S195" s="101" t="b">
        <f t="shared" si="46"/>
        <v>1</v>
      </c>
      <c r="T195" s="167">
        <f t="shared" si="47"/>
        <v>0</v>
      </c>
      <c r="U195" s="167">
        <f t="shared" si="48"/>
        <v>0</v>
      </c>
      <c r="V195" s="167">
        <f t="shared" si="49"/>
        <v>0</v>
      </c>
    </row>
    <row r="196" spans="1:22" s="91" customFormat="1" ht="20.100000000000001" customHeight="1">
      <c r="A196" s="349"/>
      <c r="B196" s="180" t="s">
        <v>1123</v>
      </c>
      <c r="C196" s="238" t="s">
        <v>392</v>
      </c>
      <c r="D196" s="239" t="s">
        <v>90</v>
      </c>
      <c r="E196" s="244">
        <f t="shared" ref="E196:G196" si="52">E197</f>
        <v>56.24</v>
      </c>
      <c r="F196" s="244">
        <f t="shared" si="52"/>
        <v>56.24</v>
      </c>
      <c r="G196" s="244">
        <f t="shared" si="52"/>
        <v>56.24</v>
      </c>
      <c r="H196" s="244">
        <v>56.24</v>
      </c>
      <c r="I196" s="244">
        <v>56.24</v>
      </c>
      <c r="J196" s="244">
        <v>56.24</v>
      </c>
      <c r="K196" s="180" t="s">
        <v>1123</v>
      </c>
      <c r="L196" s="238" t="s">
        <v>392</v>
      </c>
      <c r="M196" s="239" t="s">
        <v>90</v>
      </c>
      <c r="N196" s="244">
        <v>56.24</v>
      </c>
      <c r="O196" s="244">
        <v>56.24</v>
      </c>
      <c r="P196" s="244">
        <v>56.24</v>
      </c>
      <c r="Q196" s="101" t="b">
        <f t="shared" si="44"/>
        <v>1</v>
      </c>
      <c r="R196" s="101" t="b">
        <f t="shared" si="45"/>
        <v>1</v>
      </c>
      <c r="S196" s="101" t="b">
        <f t="shared" si="46"/>
        <v>1</v>
      </c>
      <c r="T196" s="167">
        <f t="shared" si="47"/>
        <v>0</v>
      </c>
      <c r="U196" s="167">
        <f t="shared" si="48"/>
        <v>0</v>
      </c>
      <c r="V196" s="167">
        <f t="shared" si="49"/>
        <v>0</v>
      </c>
    </row>
    <row r="197" spans="1:22" s="91" customFormat="1" ht="20.100000000000001" customHeight="1">
      <c r="A197" s="349"/>
      <c r="B197" s="180" t="s">
        <v>146</v>
      </c>
      <c r="C197" s="238" t="s">
        <v>392</v>
      </c>
      <c r="D197" s="239" t="s">
        <v>169</v>
      </c>
      <c r="E197" s="244">
        <f>'Вед-я стр-ра'!H743</f>
        <v>56.24</v>
      </c>
      <c r="F197" s="244">
        <f>'Вед-я стр-ра'!I743</f>
        <v>56.24</v>
      </c>
      <c r="G197" s="244">
        <f>'Вед-я стр-ра'!J743</f>
        <v>56.24</v>
      </c>
      <c r="H197" s="244">
        <v>56.24</v>
      </c>
      <c r="I197" s="244">
        <v>56.24</v>
      </c>
      <c r="J197" s="244">
        <v>56.24</v>
      </c>
      <c r="K197" s="180" t="s">
        <v>146</v>
      </c>
      <c r="L197" s="238" t="s">
        <v>392</v>
      </c>
      <c r="M197" s="239" t="s">
        <v>169</v>
      </c>
      <c r="N197" s="244">
        <v>56.24</v>
      </c>
      <c r="O197" s="244">
        <v>56.24</v>
      </c>
      <c r="P197" s="244">
        <v>56.24</v>
      </c>
      <c r="Q197" s="101" t="b">
        <f t="shared" si="44"/>
        <v>1</v>
      </c>
      <c r="R197" s="101" t="b">
        <f t="shared" si="45"/>
        <v>1</v>
      </c>
      <c r="S197" s="101" t="b">
        <f t="shared" si="46"/>
        <v>1</v>
      </c>
      <c r="T197" s="167">
        <f t="shared" si="47"/>
        <v>0</v>
      </c>
      <c r="U197" s="167">
        <f t="shared" si="48"/>
        <v>0</v>
      </c>
      <c r="V197" s="167">
        <f t="shared" si="49"/>
        <v>0</v>
      </c>
    </row>
    <row r="198" spans="1:22" s="91" customFormat="1" ht="20.100000000000001" customHeight="1">
      <c r="A198" s="349"/>
      <c r="B198" s="48" t="s">
        <v>879</v>
      </c>
      <c r="C198" s="37" t="s">
        <v>877</v>
      </c>
      <c r="D198" s="37" t="s">
        <v>90</v>
      </c>
      <c r="E198" s="183">
        <f>E199</f>
        <v>20</v>
      </c>
      <c r="F198" s="183">
        <f>F199</f>
        <v>20</v>
      </c>
      <c r="G198" s="183">
        <f>G199</f>
        <v>20</v>
      </c>
      <c r="H198" s="183">
        <v>20</v>
      </c>
      <c r="I198" s="183">
        <v>20</v>
      </c>
      <c r="J198" s="183">
        <v>20</v>
      </c>
      <c r="K198" s="48" t="s">
        <v>879</v>
      </c>
      <c r="L198" s="37" t="s">
        <v>877</v>
      </c>
      <c r="M198" s="37" t="s">
        <v>90</v>
      </c>
      <c r="N198" s="183">
        <v>20</v>
      </c>
      <c r="O198" s="183">
        <v>20</v>
      </c>
      <c r="P198" s="183">
        <v>20</v>
      </c>
      <c r="Q198" s="101" t="b">
        <f t="shared" si="44"/>
        <v>1</v>
      </c>
      <c r="R198" s="101" t="b">
        <f t="shared" si="45"/>
        <v>1</v>
      </c>
      <c r="S198" s="101" t="b">
        <f t="shared" si="46"/>
        <v>1</v>
      </c>
      <c r="T198" s="167">
        <f t="shared" si="47"/>
        <v>0</v>
      </c>
      <c r="U198" s="167">
        <f t="shared" si="48"/>
        <v>0</v>
      </c>
      <c r="V198" s="167">
        <f t="shared" si="49"/>
        <v>0</v>
      </c>
    </row>
    <row r="199" spans="1:22" s="91" customFormat="1" ht="20.100000000000001" customHeight="1">
      <c r="A199" s="349"/>
      <c r="B199" s="23" t="s">
        <v>147</v>
      </c>
      <c r="C199" s="37" t="s">
        <v>877</v>
      </c>
      <c r="D199" s="37" t="s">
        <v>154</v>
      </c>
      <c r="E199" s="183">
        <f>'Вед-я стр-ра'!H745</f>
        <v>20</v>
      </c>
      <c r="F199" s="183">
        <f>'Вед-я стр-ра'!I745</f>
        <v>20</v>
      </c>
      <c r="G199" s="183">
        <f>'Вед-я стр-ра'!J745</f>
        <v>20</v>
      </c>
      <c r="H199" s="183">
        <v>20</v>
      </c>
      <c r="I199" s="183">
        <v>20</v>
      </c>
      <c r="J199" s="183">
        <v>20</v>
      </c>
      <c r="K199" s="23" t="s">
        <v>147</v>
      </c>
      <c r="L199" s="37" t="s">
        <v>877</v>
      </c>
      <c r="M199" s="37" t="s">
        <v>154</v>
      </c>
      <c r="N199" s="183">
        <v>20</v>
      </c>
      <c r="O199" s="183">
        <v>20</v>
      </c>
      <c r="P199" s="183">
        <v>20</v>
      </c>
      <c r="Q199" s="101" t="b">
        <f t="shared" si="44"/>
        <v>1</v>
      </c>
      <c r="R199" s="101" t="b">
        <f t="shared" si="45"/>
        <v>1</v>
      </c>
      <c r="S199" s="101" t="b">
        <f t="shared" si="46"/>
        <v>1</v>
      </c>
      <c r="T199" s="167">
        <f t="shared" si="47"/>
        <v>0</v>
      </c>
      <c r="U199" s="167">
        <f t="shared" si="48"/>
        <v>0</v>
      </c>
      <c r="V199" s="167">
        <f t="shared" si="49"/>
        <v>0</v>
      </c>
    </row>
    <row r="200" spans="1:22" s="91" customFormat="1" ht="20.100000000000001" customHeight="1">
      <c r="A200" s="349"/>
      <c r="B200" s="23" t="s">
        <v>882</v>
      </c>
      <c r="C200" s="37" t="s">
        <v>883</v>
      </c>
      <c r="D200" s="37" t="s">
        <v>90</v>
      </c>
      <c r="E200" s="183">
        <f>E201</f>
        <v>300</v>
      </c>
      <c r="F200" s="183">
        <f>F201</f>
        <v>300</v>
      </c>
      <c r="G200" s="183">
        <f>G201</f>
        <v>300</v>
      </c>
      <c r="H200" s="183">
        <v>300</v>
      </c>
      <c r="I200" s="183">
        <v>300</v>
      </c>
      <c r="J200" s="183">
        <v>300</v>
      </c>
      <c r="K200" s="23" t="s">
        <v>882</v>
      </c>
      <c r="L200" s="37" t="s">
        <v>883</v>
      </c>
      <c r="M200" s="37" t="s">
        <v>90</v>
      </c>
      <c r="N200" s="183">
        <v>300</v>
      </c>
      <c r="O200" s="183">
        <v>300</v>
      </c>
      <c r="P200" s="183">
        <v>300</v>
      </c>
      <c r="Q200" s="101" t="b">
        <f t="shared" si="44"/>
        <v>1</v>
      </c>
      <c r="R200" s="101" t="b">
        <f t="shared" si="45"/>
        <v>1</v>
      </c>
      <c r="S200" s="101" t="b">
        <f t="shared" si="46"/>
        <v>1</v>
      </c>
      <c r="T200" s="167">
        <f t="shared" si="47"/>
        <v>0</v>
      </c>
      <c r="U200" s="167">
        <f t="shared" si="48"/>
        <v>0</v>
      </c>
      <c r="V200" s="167">
        <f t="shared" si="49"/>
        <v>0</v>
      </c>
    </row>
    <row r="201" spans="1:22" s="91" customFormat="1" ht="20.100000000000001" customHeight="1">
      <c r="A201" s="349"/>
      <c r="B201" s="23" t="s">
        <v>147</v>
      </c>
      <c r="C201" s="37" t="s">
        <v>883</v>
      </c>
      <c r="D201" s="37" t="s">
        <v>154</v>
      </c>
      <c r="E201" s="183">
        <f>'Вед-я стр-ра'!H747</f>
        <v>300</v>
      </c>
      <c r="F201" s="183">
        <f>'Вед-я стр-ра'!I747</f>
        <v>300</v>
      </c>
      <c r="G201" s="183">
        <f>'Вед-я стр-ра'!J747</f>
        <v>300</v>
      </c>
      <c r="H201" s="183">
        <v>300</v>
      </c>
      <c r="I201" s="183">
        <v>300</v>
      </c>
      <c r="J201" s="183">
        <v>300</v>
      </c>
      <c r="K201" s="23" t="s">
        <v>147</v>
      </c>
      <c r="L201" s="37" t="s">
        <v>883</v>
      </c>
      <c r="M201" s="37" t="s">
        <v>154</v>
      </c>
      <c r="N201" s="183">
        <v>300</v>
      </c>
      <c r="O201" s="183">
        <v>300</v>
      </c>
      <c r="P201" s="183">
        <v>300</v>
      </c>
      <c r="Q201" s="101" t="b">
        <f t="shared" si="44"/>
        <v>1</v>
      </c>
      <c r="R201" s="101" t="b">
        <f t="shared" si="45"/>
        <v>1</v>
      </c>
      <c r="S201" s="101" t="b">
        <f t="shared" si="46"/>
        <v>1</v>
      </c>
      <c r="T201" s="167">
        <f t="shared" si="47"/>
        <v>0</v>
      </c>
      <c r="U201" s="167">
        <f t="shared" si="48"/>
        <v>0</v>
      </c>
      <c r="V201" s="167">
        <f t="shared" si="49"/>
        <v>0</v>
      </c>
    </row>
    <row r="202" spans="1:22" s="44" customFormat="1" ht="20.100000000000001" customHeight="1">
      <c r="A202" s="285"/>
      <c r="B202" s="180" t="s">
        <v>548</v>
      </c>
      <c r="C202" s="238" t="s">
        <v>545</v>
      </c>
      <c r="D202" s="239" t="s">
        <v>90</v>
      </c>
      <c r="E202" s="244">
        <f t="shared" ref="E202:G203" si="53">E203</f>
        <v>3595.03</v>
      </c>
      <c r="F202" s="244">
        <f t="shared" si="53"/>
        <v>3595.03</v>
      </c>
      <c r="G202" s="244">
        <f t="shared" si="53"/>
        <v>3595.03</v>
      </c>
      <c r="H202" s="244">
        <v>3595.03</v>
      </c>
      <c r="I202" s="244">
        <v>3595.03</v>
      </c>
      <c r="J202" s="244">
        <v>3595.03</v>
      </c>
      <c r="K202" s="180" t="s">
        <v>548</v>
      </c>
      <c r="L202" s="238" t="s">
        <v>545</v>
      </c>
      <c r="M202" s="239" t="s">
        <v>90</v>
      </c>
      <c r="N202" s="244">
        <v>3595.03</v>
      </c>
      <c r="O202" s="244">
        <v>3595.03</v>
      </c>
      <c r="P202" s="244">
        <v>3595.03</v>
      </c>
      <c r="Q202" s="101" t="b">
        <f t="shared" si="44"/>
        <v>1</v>
      </c>
      <c r="R202" s="101" t="b">
        <f t="shared" si="45"/>
        <v>1</v>
      </c>
      <c r="S202" s="101" t="b">
        <f t="shared" si="46"/>
        <v>1</v>
      </c>
      <c r="T202" s="167">
        <f t="shared" si="47"/>
        <v>0</v>
      </c>
      <c r="U202" s="167">
        <f t="shared" si="48"/>
        <v>0</v>
      </c>
      <c r="V202" s="167">
        <f t="shared" si="49"/>
        <v>0</v>
      </c>
    </row>
    <row r="203" spans="1:22" s="44" customFormat="1" ht="20.100000000000001" customHeight="1">
      <c r="A203" s="285"/>
      <c r="B203" s="180" t="s">
        <v>462</v>
      </c>
      <c r="C203" s="238" t="s">
        <v>549</v>
      </c>
      <c r="D203" s="239" t="s">
        <v>90</v>
      </c>
      <c r="E203" s="244">
        <f t="shared" si="53"/>
        <v>3595.03</v>
      </c>
      <c r="F203" s="244">
        <f t="shared" si="53"/>
        <v>3595.03</v>
      </c>
      <c r="G203" s="244">
        <f t="shared" si="53"/>
        <v>3595.03</v>
      </c>
      <c r="H203" s="244">
        <v>3595.03</v>
      </c>
      <c r="I203" s="244">
        <v>3595.03</v>
      </c>
      <c r="J203" s="244">
        <v>3595.03</v>
      </c>
      <c r="K203" s="180" t="s">
        <v>462</v>
      </c>
      <c r="L203" s="238" t="s">
        <v>549</v>
      </c>
      <c r="M203" s="239" t="s">
        <v>90</v>
      </c>
      <c r="N203" s="244">
        <v>3595.03</v>
      </c>
      <c r="O203" s="244">
        <v>3595.03</v>
      </c>
      <c r="P203" s="244">
        <v>3595.03</v>
      </c>
      <c r="Q203" s="101" t="b">
        <f t="shared" si="44"/>
        <v>1</v>
      </c>
      <c r="R203" s="101" t="b">
        <f t="shared" si="45"/>
        <v>1</v>
      </c>
      <c r="S203" s="101" t="b">
        <f t="shared" si="46"/>
        <v>1</v>
      </c>
      <c r="T203" s="167">
        <f t="shared" si="47"/>
        <v>0</v>
      </c>
      <c r="U203" s="167">
        <f t="shared" si="48"/>
        <v>0</v>
      </c>
      <c r="V203" s="167">
        <f t="shared" si="49"/>
        <v>0</v>
      </c>
    </row>
    <row r="204" spans="1:22" s="44" customFormat="1" ht="20.100000000000001" customHeight="1">
      <c r="A204" s="285"/>
      <c r="B204" s="180" t="s">
        <v>492</v>
      </c>
      <c r="C204" s="238" t="s">
        <v>549</v>
      </c>
      <c r="D204" s="239" t="s">
        <v>139</v>
      </c>
      <c r="E204" s="244">
        <f>'Вед-я стр-ра'!H1240</f>
        <v>3595.03</v>
      </c>
      <c r="F204" s="244">
        <f>'Вед-я стр-ра'!I1240</f>
        <v>3595.03</v>
      </c>
      <c r="G204" s="244">
        <f>'Вед-я стр-ра'!J1240</f>
        <v>3595.03</v>
      </c>
      <c r="H204" s="244">
        <v>3595.03</v>
      </c>
      <c r="I204" s="244">
        <v>3595.03</v>
      </c>
      <c r="J204" s="244">
        <v>3595.03</v>
      </c>
      <c r="K204" s="180" t="s">
        <v>492</v>
      </c>
      <c r="L204" s="238" t="s">
        <v>549</v>
      </c>
      <c r="M204" s="239" t="s">
        <v>139</v>
      </c>
      <c r="N204" s="244">
        <v>3595.03</v>
      </c>
      <c r="O204" s="244">
        <v>3595.03</v>
      </c>
      <c r="P204" s="244">
        <v>3595.03</v>
      </c>
      <c r="Q204" s="101" t="b">
        <f t="shared" si="44"/>
        <v>1</v>
      </c>
      <c r="R204" s="101" t="b">
        <f t="shared" si="45"/>
        <v>1</v>
      </c>
      <c r="S204" s="101" t="b">
        <f t="shared" si="46"/>
        <v>1</v>
      </c>
      <c r="T204" s="167">
        <f t="shared" si="47"/>
        <v>0</v>
      </c>
      <c r="U204" s="167">
        <f t="shared" si="48"/>
        <v>0</v>
      </c>
      <c r="V204" s="167">
        <f t="shared" si="49"/>
        <v>0</v>
      </c>
    </row>
    <row r="205" spans="1:22" s="44" customFormat="1" ht="20.100000000000001" customHeight="1">
      <c r="A205" s="285"/>
      <c r="B205" s="180" t="s">
        <v>551</v>
      </c>
      <c r="C205" s="238" t="s">
        <v>547</v>
      </c>
      <c r="D205" s="239" t="s">
        <v>90</v>
      </c>
      <c r="E205" s="244">
        <f t="shared" ref="E205:G206" si="54">E206</f>
        <v>11569.12</v>
      </c>
      <c r="F205" s="244">
        <f t="shared" si="54"/>
        <v>11569.12</v>
      </c>
      <c r="G205" s="244">
        <f t="shared" si="54"/>
        <v>11569.12</v>
      </c>
      <c r="H205" s="244">
        <v>11569.12</v>
      </c>
      <c r="I205" s="244">
        <v>11569.12</v>
      </c>
      <c r="J205" s="244">
        <v>11569.12</v>
      </c>
      <c r="K205" s="180" t="s">
        <v>551</v>
      </c>
      <c r="L205" s="238" t="s">
        <v>547</v>
      </c>
      <c r="M205" s="239" t="s">
        <v>90</v>
      </c>
      <c r="N205" s="244">
        <v>11569.12</v>
      </c>
      <c r="O205" s="244">
        <v>11569.12</v>
      </c>
      <c r="P205" s="244">
        <v>11569.12</v>
      </c>
      <c r="Q205" s="101" t="b">
        <f t="shared" si="44"/>
        <v>1</v>
      </c>
      <c r="R205" s="101" t="b">
        <f t="shared" si="45"/>
        <v>1</v>
      </c>
      <c r="S205" s="101" t="b">
        <f t="shared" si="46"/>
        <v>1</v>
      </c>
      <c r="T205" s="167">
        <f t="shared" si="47"/>
        <v>0</v>
      </c>
      <c r="U205" s="167">
        <f t="shared" si="48"/>
        <v>0</v>
      </c>
      <c r="V205" s="167">
        <f t="shared" si="49"/>
        <v>0</v>
      </c>
    </row>
    <row r="206" spans="1:22" s="44" customFormat="1" ht="20.100000000000001" customHeight="1">
      <c r="A206" s="285"/>
      <c r="B206" s="180" t="s">
        <v>463</v>
      </c>
      <c r="C206" s="238" t="s">
        <v>550</v>
      </c>
      <c r="D206" s="239" t="s">
        <v>90</v>
      </c>
      <c r="E206" s="244">
        <f t="shared" si="54"/>
        <v>11569.12</v>
      </c>
      <c r="F206" s="244">
        <f t="shared" si="54"/>
        <v>11569.12</v>
      </c>
      <c r="G206" s="244">
        <f t="shared" si="54"/>
        <v>11569.12</v>
      </c>
      <c r="H206" s="244">
        <v>11569.12</v>
      </c>
      <c r="I206" s="244">
        <v>11569.12</v>
      </c>
      <c r="J206" s="244">
        <v>11569.12</v>
      </c>
      <c r="K206" s="180" t="s">
        <v>463</v>
      </c>
      <c r="L206" s="238" t="s">
        <v>550</v>
      </c>
      <c r="M206" s="239" t="s">
        <v>90</v>
      </c>
      <c r="N206" s="244">
        <v>11569.12</v>
      </c>
      <c r="O206" s="244">
        <v>11569.12</v>
      </c>
      <c r="P206" s="244">
        <v>11569.12</v>
      </c>
      <c r="Q206" s="101" t="b">
        <f t="shared" si="44"/>
        <v>1</v>
      </c>
      <c r="R206" s="101" t="b">
        <f t="shared" si="45"/>
        <v>1</v>
      </c>
      <c r="S206" s="101" t="b">
        <f t="shared" si="46"/>
        <v>1</v>
      </c>
      <c r="T206" s="167">
        <f t="shared" si="47"/>
        <v>0</v>
      </c>
      <c r="U206" s="167">
        <f t="shared" si="48"/>
        <v>0</v>
      </c>
      <c r="V206" s="167">
        <f t="shared" si="49"/>
        <v>0</v>
      </c>
    </row>
    <row r="207" spans="1:22" s="44" customFormat="1" ht="20.100000000000001" customHeight="1">
      <c r="A207" s="285"/>
      <c r="B207" s="180" t="s">
        <v>492</v>
      </c>
      <c r="C207" s="238" t="s">
        <v>550</v>
      </c>
      <c r="D207" s="239" t="s">
        <v>139</v>
      </c>
      <c r="E207" s="244">
        <f>'Вед-я стр-ра'!H750</f>
        <v>11569.12</v>
      </c>
      <c r="F207" s="244">
        <f>'Вед-я стр-ра'!I750</f>
        <v>11569.12</v>
      </c>
      <c r="G207" s="244">
        <f>'Вед-я стр-ра'!J750</f>
        <v>11569.12</v>
      </c>
      <c r="H207" s="244">
        <v>11569.12</v>
      </c>
      <c r="I207" s="244">
        <v>11569.12</v>
      </c>
      <c r="J207" s="244">
        <v>11569.12</v>
      </c>
      <c r="K207" s="180" t="s">
        <v>492</v>
      </c>
      <c r="L207" s="238" t="s">
        <v>550</v>
      </c>
      <c r="M207" s="239" t="s">
        <v>139</v>
      </c>
      <c r="N207" s="244">
        <v>11569.12</v>
      </c>
      <c r="O207" s="244">
        <v>11569.12</v>
      </c>
      <c r="P207" s="244">
        <v>11569.12</v>
      </c>
      <c r="Q207" s="101" t="b">
        <f t="shared" si="44"/>
        <v>1</v>
      </c>
      <c r="R207" s="101" t="b">
        <f t="shared" si="45"/>
        <v>1</v>
      </c>
      <c r="S207" s="101" t="b">
        <f t="shared" si="46"/>
        <v>1</v>
      </c>
      <c r="T207" s="167">
        <f t="shared" si="47"/>
        <v>0</v>
      </c>
      <c r="U207" s="167">
        <f t="shared" si="48"/>
        <v>0</v>
      </c>
      <c r="V207" s="167">
        <f t="shared" si="49"/>
        <v>0</v>
      </c>
    </row>
    <row r="208" spans="1:22" s="44" customFormat="1" ht="20.100000000000001" customHeight="1">
      <c r="A208" s="285"/>
      <c r="B208" s="180" t="s">
        <v>699</v>
      </c>
      <c r="C208" s="238" t="s">
        <v>700</v>
      </c>
      <c r="D208" s="239" t="s">
        <v>90</v>
      </c>
      <c r="E208" s="244">
        <f t="shared" ref="E208:G209" si="55">E209</f>
        <v>4837.9799999999996</v>
      </c>
      <c r="F208" s="244">
        <f t="shared" si="55"/>
        <v>4837.9799999999996</v>
      </c>
      <c r="G208" s="244">
        <f t="shared" si="55"/>
        <v>4837.9799999999996</v>
      </c>
      <c r="H208" s="244">
        <v>4837.9799999999996</v>
      </c>
      <c r="I208" s="244">
        <v>4837.9799999999996</v>
      </c>
      <c r="J208" s="244">
        <v>4837.9799999999996</v>
      </c>
      <c r="K208" s="180" t="s">
        <v>699</v>
      </c>
      <c r="L208" s="238" t="s">
        <v>700</v>
      </c>
      <c r="M208" s="239" t="s">
        <v>90</v>
      </c>
      <c r="N208" s="244">
        <v>4837.9799999999996</v>
      </c>
      <c r="O208" s="244">
        <v>4837.9799999999996</v>
      </c>
      <c r="P208" s="244">
        <v>4837.9799999999996</v>
      </c>
      <c r="Q208" s="101" t="b">
        <f t="shared" si="44"/>
        <v>1</v>
      </c>
      <c r="R208" s="101" t="b">
        <f t="shared" si="45"/>
        <v>1</v>
      </c>
      <c r="S208" s="101" t="b">
        <f t="shared" si="46"/>
        <v>1</v>
      </c>
      <c r="T208" s="167">
        <f t="shared" si="47"/>
        <v>0</v>
      </c>
      <c r="U208" s="167">
        <f t="shared" si="48"/>
        <v>0</v>
      </c>
      <c r="V208" s="167">
        <f t="shared" si="49"/>
        <v>0</v>
      </c>
    </row>
    <row r="209" spans="1:22" s="44" customFormat="1" ht="20.100000000000001" customHeight="1">
      <c r="A209" s="285"/>
      <c r="B209" s="23" t="s">
        <v>916</v>
      </c>
      <c r="C209" s="37" t="s">
        <v>917</v>
      </c>
      <c r="D209" s="239" t="s">
        <v>90</v>
      </c>
      <c r="E209" s="244">
        <f t="shared" si="55"/>
        <v>4837.9799999999996</v>
      </c>
      <c r="F209" s="244">
        <f t="shared" si="55"/>
        <v>4837.9799999999996</v>
      </c>
      <c r="G209" s="244">
        <f t="shared" si="55"/>
        <v>4837.9799999999996</v>
      </c>
      <c r="H209" s="244">
        <v>4837.9799999999996</v>
      </c>
      <c r="I209" s="244">
        <v>4837.9799999999996</v>
      </c>
      <c r="J209" s="244">
        <v>4837.9799999999996</v>
      </c>
      <c r="K209" s="23" t="s">
        <v>916</v>
      </c>
      <c r="L209" s="37" t="s">
        <v>917</v>
      </c>
      <c r="M209" s="239" t="s">
        <v>90</v>
      </c>
      <c r="N209" s="244">
        <v>4837.9799999999996</v>
      </c>
      <c r="O209" s="244">
        <v>4837.9799999999996</v>
      </c>
      <c r="P209" s="244">
        <v>4837.9799999999996</v>
      </c>
      <c r="Q209" s="101" t="b">
        <f t="shared" si="44"/>
        <v>1</v>
      </c>
      <c r="R209" s="101" t="b">
        <f t="shared" si="45"/>
        <v>1</v>
      </c>
      <c r="S209" s="101" t="b">
        <f t="shared" si="46"/>
        <v>1</v>
      </c>
      <c r="T209" s="167">
        <f t="shared" si="47"/>
        <v>0</v>
      </c>
      <c r="U209" s="167">
        <f t="shared" si="48"/>
        <v>0</v>
      </c>
      <c r="V209" s="167">
        <f t="shared" si="49"/>
        <v>0</v>
      </c>
    </row>
    <row r="210" spans="1:22" s="44" customFormat="1" ht="20.100000000000001" customHeight="1">
      <c r="A210" s="285"/>
      <c r="B210" s="180" t="s">
        <v>145</v>
      </c>
      <c r="C210" s="37" t="s">
        <v>917</v>
      </c>
      <c r="D210" s="239" t="s">
        <v>153</v>
      </c>
      <c r="E210" s="244">
        <f>'Вед-я стр-ра'!H753</f>
        <v>4837.9799999999996</v>
      </c>
      <c r="F210" s="244">
        <f>'Вед-я стр-ра'!I753</f>
        <v>4837.9799999999996</v>
      </c>
      <c r="G210" s="244">
        <f>'Вед-я стр-ра'!J753</f>
        <v>4837.9799999999996</v>
      </c>
      <c r="H210" s="244">
        <v>4837.9799999999996</v>
      </c>
      <c r="I210" s="244">
        <v>4837.9799999999996</v>
      </c>
      <c r="J210" s="244">
        <v>4837.9799999999996</v>
      </c>
      <c r="K210" s="180" t="s">
        <v>145</v>
      </c>
      <c r="L210" s="37" t="s">
        <v>917</v>
      </c>
      <c r="M210" s="239" t="s">
        <v>153</v>
      </c>
      <c r="N210" s="244">
        <v>4837.9799999999996</v>
      </c>
      <c r="O210" s="244">
        <v>4837.9799999999996</v>
      </c>
      <c r="P210" s="244">
        <v>4837.9799999999996</v>
      </c>
      <c r="Q210" s="101" t="b">
        <f t="shared" si="44"/>
        <v>1</v>
      </c>
      <c r="R210" s="101" t="b">
        <f t="shared" si="45"/>
        <v>1</v>
      </c>
      <c r="S210" s="101" t="b">
        <f t="shared" si="46"/>
        <v>1</v>
      </c>
      <c r="T210" s="167">
        <f t="shared" si="47"/>
        <v>0</v>
      </c>
      <c r="U210" s="167">
        <f t="shared" si="48"/>
        <v>0</v>
      </c>
      <c r="V210" s="167">
        <f t="shared" si="49"/>
        <v>0</v>
      </c>
    </row>
    <row r="211" spans="1:22" s="44" customFormat="1" ht="20.100000000000001" customHeight="1">
      <c r="A211" s="285"/>
      <c r="B211" s="48" t="s">
        <v>918</v>
      </c>
      <c r="C211" s="238" t="s">
        <v>701</v>
      </c>
      <c r="D211" s="239" t="s">
        <v>90</v>
      </c>
      <c r="E211" s="244">
        <f t="shared" ref="E211:G212" si="56">E212</f>
        <v>124.8</v>
      </c>
      <c r="F211" s="244">
        <f t="shared" si="56"/>
        <v>92.5</v>
      </c>
      <c r="G211" s="244">
        <f t="shared" si="56"/>
        <v>92.5</v>
      </c>
      <c r="H211" s="244">
        <v>124.8</v>
      </c>
      <c r="I211" s="244">
        <v>92.5</v>
      </c>
      <c r="J211" s="244">
        <v>92.5</v>
      </c>
      <c r="K211" s="48" t="s">
        <v>918</v>
      </c>
      <c r="L211" s="238" t="s">
        <v>701</v>
      </c>
      <c r="M211" s="239" t="s">
        <v>90</v>
      </c>
      <c r="N211" s="244">
        <v>124.8</v>
      </c>
      <c r="O211" s="244">
        <v>92.5</v>
      </c>
      <c r="P211" s="244">
        <v>92.5</v>
      </c>
      <c r="Q211" s="101" t="b">
        <f t="shared" si="44"/>
        <v>1</v>
      </c>
      <c r="R211" s="101" t="b">
        <f t="shared" si="45"/>
        <v>1</v>
      </c>
      <c r="S211" s="101" t="b">
        <f t="shared" si="46"/>
        <v>1</v>
      </c>
      <c r="T211" s="167">
        <f t="shared" si="47"/>
        <v>0</v>
      </c>
      <c r="U211" s="167">
        <f t="shared" si="48"/>
        <v>0</v>
      </c>
      <c r="V211" s="167">
        <f t="shared" si="49"/>
        <v>0</v>
      </c>
    </row>
    <row r="212" spans="1:22" s="44" customFormat="1" ht="20.100000000000001" customHeight="1">
      <c r="A212" s="285"/>
      <c r="B212" s="47" t="s">
        <v>752</v>
      </c>
      <c r="C212" s="37" t="s">
        <v>919</v>
      </c>
      <c r="D212" s="37" t="s">
        <v>90</v>
      </c>
      <c r="E212" s="244">
        <f t="shared" si="56"/>
        <v>124.8</v>
      </c>
      <c r="F212" s="244">
        <f t="shared" si="56"/>
        <v>92.5</v>
      </c>
      <c r="G212" s="244">
        <f t="shared" si="56"/>
        <v>92.5</v>
      </c>
      <c r="H212" s="244">
        <v>124.8</v>
      </c>
      <c r="I212" s="244">
        <v>92.5</v>
      </c>
      <c r="J212" s="244">
        <v>92.5</v>
      </c>
      <c r="K212" s="47" t="s">
        <v>752</v>
      </c>
      <c r="L212" s="37" t="s">
        <v>919</v>
      </c>
      <c r="M212" s="37" t="s">
        <v>90</v>
      </c>
      <c r="N212" s="244">
        <v>124.8</v>
      </c>
      <c r="O212" s="244">
        <v>92.5</v>
      </c>
      <c r="P212" s="244">
        <v>92.5</v>
      </c>
      <c r="Q212" s="101" t="b">
        <f t="shared" si="44"/>
        <v>1</v>
      </c>
      <c r="R212" s="101" t="b">
        <f t="shared" si="45"/>
        <v>1</v>
      </c>
      <c r="S212" s="101" t="b">
        <f t="shared" si="46"/>
        <v>1</v>
      </c>
      <c r="T212" s="167">
        <f t="shared" si="47"/>
        <v>0</v>
      </c>
      <c r="U212" s="167">
        <f t="shared" si="48"/>
        <v>0</v>
      </c>
      <c r="V212" s="167">
        <f t="shared" si="49"/>
        <v>0</v>
      </c>
    </row>
    <row r="213" spans="1:22" s="44" customFormat="1" ht="20.100000000000001" customHeight="1">
      <c r="A213" s="285"/>
      <c r="B213" s="180" t="s">
        <v>145</v>
      </c>
      <c r="C213" s="37" t="s">
        <v>919</v>
      </c>
      <c r="D213" s="37" t="s">
        <v>153</v>
      </c>
      <c r="E213" s="244">
        <f>'Вед-я стр-ра'!H756</f>
        <v>124.8</v>
      </c>
      <c r="F213" s="244">
        <f>'Вед-я стр-ра'!I756</f>
        <v>92.5</v>
      </c>
      <c r="G213" s="244">
        <f>'Вед-я стр-ра'!J756</f>
        <v>92.5</v>
      </c>
      <c r="H213" s="244">
        <v>124.8</v>
      </c>
      <c r="I213" s="244">
        <v>92.5</v>
      </c>
      <c r="J213" s="244">
        <v>92.5</v>
      </c>
      <c r="K213" s="180" t="s">
        <v>145</v>
      </c>
      <c r="L213" s="37" t="s">
        <v>919</v>
      </c>
      <c r="M213" s="37" t="s">
        <v>153</v>
      </c>
      <c r="N213" s="244">
        <v>124.8</v>
      </c>
      <c r="O213" s="244">
        <v>92.5</v>
      </c>
      <c r="P213" s="244">
        <v>92.5</v>
      </c>
      <c r="Q213" s="101" t="b">
        <f t="shared" si="44"/>
        <v>1</v>
      </c>
      <c r="R213" s="101" t="b">
        <f t="shared" si="45"/>
        <v>1</v>
      </c>
      <c r="S213" s="101" t="b">
        <f t="shared" si="46"/>
        <v>1</v>
      </c>
      <c r="T213" s="167">
        <f t="shared" si="47"/>
        <v>0</v>
      </c>
      <c r="U213" s="167">
        <f t="shared" si="48"/>
        <v>0</v>
      </c>
      <c r="V213" s="167">
        <f t="shared" si="49"/>
        <v>0</v>
      </c>
    </row>
    <row r="214" spans="1:22" s="44" customFormat="1" ht="20.100000000000001" customHeight="1">
      <c r="A214" s="285"/>
      <c r="B214" s="180" t="s">
        <v>706</v>
      </c>
      <c r="C214" s="238" t="s">
        <v>704</v>
      </c>
      <c r="D214" s="239" t="s">
        <v>90</v>
      </c>
      <c r="E214" s="244">
        <f t="shared" ref="E214:G215" si="57">E215</f>
        <v>1232.51</v>
      </c>
      <c r="F214" s="244">
        <f t="shared" si="57"/>
        <v>1232.51</v>
      </c>
      <c r="G214" s="244">
        <f t="shared" si="57"/>
        <v>1232.51</v>
      </c>
      <c r="H214" s="244">
        <v>1232.51</v>
      </c>
      <c r="I214" s="244">
        <v>1232.51</v>
      </c>
      <c r="J214" s="244">
        <v>1232.51</v>
      </c>
      <c r="K214" s="180" t="s">
        <v>706</v>
      </c>
      <c r="L214" s="238" t="s">
        <v>704</v>
      </c>
      <c r="M214" s="239" t="s">
        <v>90</v>
      </c>
      <c r="N214" s="244">
        <v>1232.51</v>
      </c>
      <c r="O214" s="244">
        <v>1232.51</v>
      </c>
      <c r="P214" s="244">
        <v>1232.51</v>
      </c>
      <c r="Q214" s="101" t="b">
        <f t="shared" si="44"/>
        <v>1</v>
      </c>
      <c r="R214" s="101" t="b">
        <f t="shared" si="45"/>
        <v>1</v>
      </c>
      <c r="S214" s="101" t="b">
        <f t="shared" si="46"/>
        <v>1</v>
      </c>
      <c r="T214" s="167">
        <f t="shared" si="47"/>
        <v>0</v>
      </c>
      <c r="U214" s="167">
        <f t="shared" si="48"/>
        <v>0</v>
      </c>
      <c r="V214" s="167">
        <f t="shared" si="49"/>
        <v>0</v>
      </c>
    </row>
    <row r="215" spans="1:22" s="44" customFormat="1" ht="20.100000000000001" customHeight="1">
      <c r="A215" s="285"/>
      <c r="B215" s="180" t="s">
        <v>518</v>
      </c>
      <c r="C215" s="238" t="s">
        <v>705</v>
      </c>
      <c r="D215" s="239" t="s">
        <v>90</v>
      </c>
      <c r="E215" s="244">
        <f t="shared" si="57"/>
        <v>1232.51</v>
      </c>
      <c r="F215" s="244">
        <f t="shared" si="57"/>
        <v>1232.51</v>
      </c>
      <c r="G215" s="244">
        <f t="shared" si="57"/>
        <v>1232.51</v>
      </c>
      <c r="H215" s="244">
        <v>1232.51</v>
      </c>
      <c r="I215" s="244">
        <v>1232.51</v>
      </c>
      <c r="J215" s="244">
        <v>1232.51</v>
      </c>
      <c r="K215" s="180" t="s">
        <v>518</v>
      </c>
      <c r="L215" s="238" t="s">
        <v>705</v>
      </c>
      <c r="M215" s="239" t="s">
        <v>90</v>
      </c>
      <c r="N215" s="244">
        <v>1232.51</v>
      </c>
      <c r="O215" s="244">
        <v>1232.51</v>
      </c>
      <c r="P215" s="244">
        <v>1232.51</v>
      </c>
      <c r="Q215" s="101" t="b">
        <f t="shared" si="44"/>
        <v>1</v>
      </c>
      <c r="R215" s="101" t="b">
        <f t="shared" si="45"/>
        <v>1</v>
      </c>
      <c r="S215" s="101" t="b">
        <f t="shared" si="46"/>
        <v>1</v>
      </c>
      <c r="T215" s="167">
        <f t="shared" si="47"/>
        <v>0</v>
      </c>
      <c r="U215" s="167">
        <f t="shared" si="48"/>
        <v>0</v>
      </c>
      <c r="V215" s="167">
        <f t="shared" si="49"/>
        <v>0</v>
      </c>
    </row>
    <row r="216" spans="1:22" s="44" customFormat="1" ht="20.100000000000001" customHeight="1">
      <c r="A216" s="285"/>
      <c r="B216" s="180" t="s">
        <v>148</v>
      </c>
      <c r="C216" s="238" t="s">
        <v>705</v>
      </c>
      <c r="D216" s="239" t="s">
        <v>142</v>
      </c>
      <c r="E216" s="244">
        <f>'Вед-я стр-ра'!H793</f>
        <v>1232.51</v>
      </c>
      <c r="F216" s="244">
        <f>'Вед-я стр-ра'!I793</f>
        <v>1232.51</v>
      </c>
      <c r="G216" s="244">
        <f>'Вед-я стр-ра'!J793</f>
        <v>1232.51</v>
      </c>
      <c r="H216" s="244">
        <v>1232.51</v>
      </c>
      <c r="I216" s="244">
        <v>1232.51</v>
      </c>
      <c r="J216" s="244">
        <v>1232.51</v>
      </c>
      <c r="K216" s="180" t="s">
        <v>148</v>
      </c>
      <c r="L216" s="238" t="s">
        <v>705</v>
      </c>
      <c r="M216" s="239" t="s">
        <v>142</v>
      </c>
      <c r="N216" s="244">
        <v>1232.51</v>
      </c>
      <c r="O216" s="244">
        <v>1232.51</v>
      </c>
      <c r="P216" s="244">
        <v>1232.51</v>
      </c>
      <c r="Q216" s="101" t="b">
        <f t="shared" si="44"/>
        <v>1</v>
      </c>
      <c r="R216" s="101" t="b">
        <f t="shared" si="45"/>
        <v>1</v>
      </c>
      <c r="S216" s="101" t="b">
        <f t="shared" si="46"/>
        <v>1</v>
      </c>
      <c r="T216" s="167">
        <f t="shared" si="47"/>
        <v>0</v>
      </c>
      <c r="U216" s="167">
        <f t="shared" si="48"/>
        <v>0</v>
      </c>
      <c r="V216" s="167">
        <f t="shared" si="49"/>
        <v>0</v>
      </c>
    </row>
    <row r="217" spans="1:22" s="44" customFormat="1" ht="20.100000000000001" customHeight="1">
      <c r="A217" s="285"/>
      <c r="B217" s="180" t="s">
        <v>730</v>
      </c>
      <c r="C217" s="238" t="s">
        <v>702</v>
      </c>
      <c r="D217" s="239" t="s">
        <v>90</v>
      </c>
      <c r="E217" s="244">
        <f t="shared" ref="E217:G218" si="58">E218</f>
        <v>250</v>
      </c>
      <c r="F217" s="244">
        <f t="shared" si="58"/>
        <v>140</v>
      </c>
      <c r="G217" s="244">
        <f t="shared" si="58"/>
        <v>140</v>
      </c>
      <c r="H217" s="244">
        <v>250</v>
      </c>
      <c r="I217" s="244">
        <v>140</v>
      </c>
      <c r="J217" s="244">
        <v>140</v>
      </c>
      <c r="K217" s="180" t="s">
        <v>730</v>
      </c>
      <c r="L217" s="238" t="s">
        <v>702</v>
      </c>
      <c r="M217" s="239" t="s">
        <v>90</v>
      </c>
      <c r="N217" s="244">
        <v>250</v>
      </c>
      <c r="O217" s="244">
        <v>140</v>
      </c>
      <c r="P217" s="244">
        <v>140</v>
      </c>
      <c r="Q217" s="101" t="b">
        <f t="shared" si="44"/>
        <v>1</v>
      </c>
      <c r="R217" s="101" t="b">
        <f t="shared" si="45"/>
        <v>1</v>
      </c>
      <c r="S217" s="101" t="b">
        <f t="shared" si="46"/>
        <v>1</v>
      </c>
      <c r="T217" s="167">
        <f t="shared" si="47"/>
        <v>0</v>
      </c>
      <c r="U217" s="167">
        <f t="shared" si="48"/>
        <v>0</v>
      </c>
      <c r="V217" s="167">
        <f t="shared" si="49"/>
        <v>0</v>
      </c>
    </row>
    <row r="218" spans="1:22" s="44" customFormat="1" ht="20.100000000000001" customHeight="1">
      <c r="A218" s="285"/>
      <c r="B218" s="47" t="s">
        <v>753</v>
      </c>
      <c r="C218" s="238" t="s">
        <v>703</v>
      </c>
      <c r="D218" s="239" t="s">
        <v>90</v>
      </c>
      <c r="E218" s="244">
        <f t="shared" si="58"/>
        <v>250</v>
      </c>
      <c r="F218" s="244">
        <f t="shared" si="58"/>
        <v>140</v>
      </c>
      <c r="G218" s="244">
        <f t="shared" si="58"/>
        <v>140</v>
      </c>
      <c r="H218" s="244">
        <v>250</v>
      </c>
      <c r="I218" s="244">
        <v>140</v>
      </c>
      <c r="J218" s="244">
        <v>140</v>
      </c>
      <c r="K218" s="47" t="s">
        <v>753</v>
      </c>
      <c r="L218" s="238" t="s">
        <v>703</v>
      </c>
      <c r="M218" s="239" t="s">
        <v>90</v>
      </c>
      <c r="N218" s="244">
        <v>250</v>
      </c>
      <c r="O218" s="244">
        <v>140</v>
      </c>
      <c r="P218" s="244">
        <v>140</v>
      </c>
      <c r="Q218" s="101" t="b">
        <f t="shared" si="44"/>
        <v>1</v>
      </c>
      <c r="R218" s="101" t="b">
        <f t="shared" si="45"/>
        <v>1</v>
      </c>
      <c r="S218" s="101" t="b">
        <f t="shared" si="46"/>
        <v>1</v>
      </c>
      <c r="T218" s="167">
        <f t="shared" si="47"/>
        <v>0</v>
      </c>
      <c r="U218" s="167">
        <f t="shared" si="48"/>
        <v>0</v>
      </c>
      <c r="V218" s="167">
        <f t="shared" si="49"/>
        <v>0</v>
      </c>
    </row>
    <row r="219" spans="1:22" s="44" customFormat="1" ht="20.100000000000001" customHeight="1">
      <c r="A219" s="285"/>
      <c r="B219" s="180" t="s">
        <v>145</v>
      </c>
      <c r="C219" s="238" t="s">
        <v>703</v>
      </c>
      <c r="D219" s="239" t="s">
        <v>153</v>
      </c>
      <c r="E219" s="244">
        <f>'Вед-я стр-ра'!H759</f>
        <v>250</v>
      </c>
      <c r="F219" s="244">
        <f>'Вед-я стр-ра'!I759</f>
        <v>140</v>
      </c>
      <c r="G219" s="244">
        <f>'Вед-я стр-ра'!J759</f>
        <v>140</v>
      </c>
      <c r="H219" s="244">
        <v>250</v>
      </c>
      <c r="I219" s="244">
        <v>140</v>
      </c>
      <c r="J219" s="244">
        <v>140</v>
      </c>
      <c r="K219" s="180" t="s">
        <v>145</v>
      </c>
      <c r="L219" s="238" t="s">
        <v>703</v>
      </c>
      <c r="M219" s="239" t="s">
        <v>153</v>
      </c>
      <c r="N219" s="244">
        <v>250</v>
      </c>
      <c r="O219" s="244">
        <v>140</v>
      </c>
      <c r="P219" s="244">
        <v>140</v>
      </c>
      <c r="Q219" s="101" t="b">
        <f t="shared" si="44"/>
        <v>1</v>
      </c>
      <c r="R219" s="101" t="b">
        <f t="shared" si="45"/>
        <v>1</v>
      </c>
      <c r="S219" s="101" t="b">
        <f t="shared" si="46"/>
        <v>1</v>
      </c>
      <c r="T219" s="167">
        <f t="shared" si="47"/>
        <v>0</v>
      </c>
      <c r="U219" s="167">
        <f t="shared" si="48"/>
        <v>0</v>
      </c>
      <c r="V219" s="167">
        <f t="shared" si="49"/>
        <v>0</v>
      </c>
    </row>
    <row r="220" spans="1:22" s="91" customFormat="1" ht="20.100000000000001" customHeight="1">
      <c r="A220" s="349"/>
      <c r="B220" s="241" t="s">
        <v>175</v>
      </c>
      <c r="C220" s="236" t="s">
        <v>393</v>
      </c>
      <c r="D220" s="236" t="s">
        <v>90</v>
      </c>
      <c r="E220" s="237">
        <f>E221+E226</f>
        <v>4513.41</v>
      </c>
      <c r="F220" s="237">
        <f>F221+F226</f>
        <v>4514.6399999999994</v>
      </c>
      <c r="G220" s="237">
        <f>G221+G226</f>
        <v>4515.92</v>
      </c>
      <c r="H220" s="237">
        <v>4513.41</v>
      </c>
      <c r="I220" s="237">
        <v>4514.6399999999994</v>
      </c>
      <c r="J220" s="237">
        <v>4515.92</v>
      </c>
      <c r="K220" s="241" t="s">
        <v>175</v>
      </c>
      <c r="L220" s="236" t="s">
        <v>393</v>
      </c>
      <c r="M220" s="236" t="s">
        <v>90</v>
      </c>
      <c r="N220" s="237">
        <v>4513.41</v>
      </c>
      <c r="O220" s="237">
        <v>4514.6399999999994</v>
      </c>
      <c r="P220" s="237">
        <v>4515.92</v>
      </c>
      <c r="Q220" s="101" t="b">
        <f t="shared" si="44"/>
        <v>1</v>
      </c>
      <c r="R220" s="101" t="b">
        <f t="shared" si="45"/>
        <v>1</v>
      </c>
      <c r="S220" s="101" t="b">
        <f t="shared" si="46"/>
        <v>1</v>
      </c>
      <c r="T220" s="167">
        <f t="shared" si="47"/>
        <v>0</v>
      </c>
      <c r="U220" s="167">
        <f t="shared" si="48"/>
        <v>0</v>
      </c>
      <c r="V220" s="167">
        <f t="shared" si="49"/>
        <v>0</v>
      </c>
    </row>
    <row r="221" spans="1:22" s="91" customFormat="1" ht="20.100000000000001" customHeight="1">
      <c r="A221" s="349"/>
      <c r="B221" s="178" t="s">
        <v>1107</v>
      </c>
      <c r="C221" s="238" t="s">
        <v>394</v>
      </c>
      <c r="D221" s="239" t="s">
        <v>90</v>
      </c>
      <c r="E221" s="244">
        <f>E222</f>
        <v>2701.41</v>
      </c>
      <c r="F221" s="244">
        <f>F222</f>
        <v>2702.64</v>
      </c>
      <c r="G221" s="244">
        <f>G222</f>
        <v>2703.92</v>
      </c>
      <c r="H221" s="244">
        <v>2701.41</v>
      </c>
      <c r="I221" s="244">
        <v>2702.64</v>
      </c>
      <c r="J221" s="244">
        <v>2703.92</v>
      </c>
      <c r="K221" s="178" t="s">
        <v>1107</v>
      </c>
      <c r="L221" s="238" t="s">
        <v>394</v>
      </c>
      <c r="M221" s="239" t="s">
        <v>90</v>
      </c>
      <c r="N221" s="244">
        <v>2701.41</v>
      </c>
      <c r="O221" s="244">
        <v>2702.64</v>
      </c>
      <c r="P221" s="244">
        <v>2703.92</v>
      </c>
      <c r="Q221" s="101" t="b">
        <f t="shared" si="44"/>
        <v>1</v>
      </c>
      <c r="R221" s="101" t="b">
        <f t="shared" si="45"/>
        <v>1</v>
      </c>
      <c r="S221" s="101" t="b">
        <f t="shared" si="46"/>
        <v>1</v>
      </c>
      <c r="T221" s="167">
        <f t="shared" si="47"/>
        <v>0</v>
      </c>
      <c r="U221" s="167">
        <f t="shared" si="48"/>
        <v>0</v>
      </c>
      <c r="V221" s="167">
        <f t="shared" si="49"/>
        <v>0</v>
      </c>
    </row>
    <row r="222" spans="1:22" s="91" customFormat="1" ht="20.100000000000001" customHeight="1">
      <c r="A222" s="349"/>
      <c r="B222" s="180" t="s">
        <v>186</v>
      </c>
      <c r="C222" s="238" t="s">
        <v>676</v>
      </c>
      <c r="D222" s="239" t="s">
        <v>90</v>
      </c>
      <c r="E222" s="244">
        <f>SUM(E223:E225)</f>
        <v>2701.41</v>
      </c>
      <c r="F222" s="244">
        <f>SUM(F223:F225)</f>
        <v>2702.64</v>
      </c>
      <c r="G222" s="244">
        <f>SUM(G223:G225)</f>
        <v>2703.92</v>
      </c>
      <c r="H222" s="244">
        <v>2701.41</v>
      </c>
      <c r="I222" s="244">
        <v>2702.64</v>
      </c>
      <c r="J222" s="244">
        <v>2703.92</v>
      </c>
      <c r="K222" s="180" t="s">
        <v>186</v>
      </c>
      <c r="L222" s="238" t="s">
        <v>676</v>
      </c>
      <c r="M222" s="239" t="s">
        <v>90</v>
      </c>
      <c r="N222" s="244">
        <v>2701.41</v>
      </c>
      <c r="O222" s="244">
        <v>2702.64</v>
      </c>
      <c r="P222" s="244">
        <v>2703.92</v>
      </c>
      <c r="Q222" s="101" t="b">
        <f t="shared" si="44"/>
        <v>1</v>
      </c>
      <c r="R222" s="101" t="b">
        <f t="shared" si="45"/>
        <v>1</v>
      </c>
      <c r="S222" s="101" t="b">
        <f t="shared" si="46"/>
        <v>1</v>
      </c>
      <c r="T222" s="167">
        <f t="shared" si="47"/>
        <v>0</v>
      </c>
      <c r="U222" s="167">
        <f t="shared" si="48"/>
        <v>0</v>
      </c>
      <c r="V222" s="167">
        <f t="shared" si="49"/>
        <v>0</v>
      </c>
    </row>
    <row r="223" spans="1:22" s="91" customFormat="1" ht="20.100000000000001" customHeight="1">
      <c r="A223" s="349"/>
      <c r="B223" s="180" t="s">
        <v>145</v>
      </c>
      <c r="C223" s="238" t="s">
        <v>676</v>
      </c>
      <c r="D223" s="239" t="s">
        <v>153</v>
      </c>
      <c r="E223" s="244">
        <f>'Вед-я стр-ра'!H797</f>
        <v>65.740000000000009</v>
      </c>
      <c r="F223" s="244">
        <f>'Вед-я стр-ра'!I797</f>
        <v>66.97</v>
      </c>
      <c r="G223" s="244">
        <f>'Вед-я стр-ра'!J797</f>
        <v>68.25</v>
      </c>
      <c r="H223" s="244">
        <v>65.740000000000009</v>
      </c>
      <c r="I223" s="244">
        <v>66.97</v>
      </c>
      <c r="J223" s="244">
        <v>68.25</v>
      </c>
      <c r="K223" s="180" t="s">
        <v>145</v>
      </c>
      <c r="L223" s="238" t="s">
        <v>676</v>
      </c>
      <c r="M223" s="239" t="s">
        <v>153</v>
      </c>
      <c r="N223" s="244">
        <v>65.740000000000009</v>
      </c>
      <c r="O223" s="244">
        <v>66.97</v>
      </c>
      <c r="P223" s="244">
        <v>68.25</v>
      </c>
      <c r="Q223" s="101" t="b">
        <f t="shared" si="44"/>
        <v>1</v>
      </c>
      <c r="R223" s="101" t="b">
        <f t="shared" si="45"/>
        <v>1</v>
      </c>
      <c r="S223" s="101" t="b">
        <f t="shared" si="46"/>
        <v>1</v>
      </c>
      <c r="T223" s="167">
        <f t="shared" si="47"/>
        <v>0</v>
      </c>
      <c r="U223" s="167">
        <f t="shared" si="48"/>
        <v>0</v>
      </c>
      <c r="V223" s="167">
        <f t="shared" si="49"/>
        <v>0</v>
      </c>
    </row>
    <row r="224" spans="1:22" s="91" customFormat="1" ht="20.100000000000001" customHeight="1">
      <c r="A224" s="349"/>
      <c r="B224" s="180" t="s">
        <v>147</v>
      </c>
      <c r="C224" s="238" t="s">
        <v>676</v>
      </c>
      <c r="D224" s="239" t="s">
        <v>154</v>
      </c>
      <c r="E224" s="244">
        <f>'Вед-я стр-ра'!H763</f>
        <v>2608.5</v>
      </c>
      <c r="F224" s="244">
        <f>'Вед-я стр-ра'!I763</f>
        <v>2608.5</v>
      </c>
      <c r="G224" s="244">
        <f>'Вед-я стр-ра'!J763</f>
        <v>2608.5</v>
      </c>
      <c r="H224" s="244">
        <v>2608.5</v>
      </c>
      <c r="I224" s="244">
        <v>2608.5</v>
      </c>
      <c r="J224" s="244">
        <v>2608.5</v>
      </c>
      <c r="K224" s="180" t="s">
        <v>147</v>
      </c>
      <c r="L224" s="238" t="s">
        <v>676</v>
      </c>
      <c r="M224" s="239" t="s">
        <v>154</v>
      </c>
      <c r="N224" s="244">
        <v>2608.5</v>
      </c>
      <c r="O224" s="244">
        <v>2608.5</v>
      </c>
      <c r="P224" s="244">
        <v>2608.5</v>
      </c>
      <c r="Q224" s="101" t="b">
        <f t="shared" si="44"/>
        <v>1</v>
      </c>
      <c r="R224" s="101" t="b">
        <f t="shared" si="45"/>
        <v>1</v>
      </c>
      <c r="S224" s="101" t="b">
        <f t="shared" si="46"/>
        <v>1</v>
      </c>
      <c r="T224" s="167">
        <f t="shared" si="47"/>
        <v>0</v>
      </c>
      <c r="U224" s="167">
        <f t="shared" si="48"/>
        <v>0</v>
      </c>
      <c r="V224" s="167">
        <f t="shared" si="49"/>
        <v>0</v>
      </c>
    </row>
    <row r="225" spans="1:22" s="91" customFormat="1" ht="20.100000000000001" customHeight="1">
      <c r="A225" s="349"/>
      <c r="B225" s="180" t="s">
        <v>137</v>
      </c>
      <c r="C225" s="238" t="s">
        <v>676</v>
      </c>
      <c r="D225" s="239" t="s">
        <v>155</v>
      </c>
      <c r="E225" s="244">
        <f>'Вед-я стр-ра'!H798</f>
        <v>27.17</v>
      </c>
      <c r="F225" s="244">
        <f>'Вед-я стр-ра'!I798</f>
        <v>27.17</v>
      </c>
      <c r="G225" s="244">
        <f>'Вед-я стр-ра'!J798</f>
        <v>27.17</v>
      </c>
      <c r="H225" s="244">
        <v>27.17</v>
      </c>
      <c r="I225" s="244">
        <v>27.17</v>
      </c>
      <c r="J225" s="244">
        <v>27.17</v>
      </c>
      <c r="K225" s="180" t="s">
        <v>137</v>
      </c>
      <c r="L225" s="238" t="s">
        <v>676</v>
      </c>
      <c r="M225" s="239" t="s">
        <v>155</v>
      </c>
      <c r="N225" s="244">
        <v>27.17</v>
      </c>
      <c r="O225" s="244">
        <v>27.17</v>
      </c>
      <c r="P225" s="244">
        <v>27.17</v>
      </c>
      <c r="Q225" s="101" t="b">
        <f t="shared" si="44"/>
        <v>1</v>
      </c>
      <c r="R225" s="101" t="b">
        <f t="shared" si="45"/>
        <v>1</v>
      </c>
      <c r="S225" s="101" t="b">
        <f t="shared" si="46"/>
        <v>1</v>
      </c>
      <c r="T225" s="167">
        <f t="shared" si="47"/>
        <v>0</v>
      </c>
      <c r="U225" s="167">
        <f t="shared" si="48"/>
        <v>0</v>
      </c>
      <c r="V225" s="167">
        <f t="shared" si="49"/>
        <v>0</v>
      </c>
    </row>
    <row r="226" spans="1:22" s="91" customFormat="1" ht="20.100000000000001" customHeight="1">
      <c r="A226" s="349"/>
      <c r="B226" s="182" t="s">
        <v>920</v>
      </c>
      <c r="C226" s="37" t="s">
        <v>921</v>
      </c>
      <c r="D226" s="37" t="s">
        <v>90</v>
      </c>
      <c r="E226" s="183">
        <f t="shared" ref="E226:G227" si="59">E227</f>
        <v>1812</v>
      </c>
      <c r="F226" s="183">
        <f t="shared" si="59"/>
        <v>1812</v>
      </c>
      <c r="G226" s="183">
        <f t="shared" si="59"/>
        <v>1812</v>
      </c>
      <c r="H226" s="183">
        <v>1812</v>
      </c>
      <c r="I226" s="183">
        <v>1812</v>
      </c>
      <c r="J226" s="183">
        <v>1812</v>
      </c>
      <c r="K226" s="182" t="s">
        <v>920</v>
      </c>
      <c r="L226" s="37" t="s">
        <v>921</v>
      </c>
      <c r="M226" s="37" t="s">
        <v>90</v>
      </c>
      <c r="N226" s="183">
        <v>1812</v>
      </c>
      <c r="O226" s="183">
        <v>1812</v>
      </c>
      <c r="P226" s="183">
        <v>1812</v>
      </c>
      <c r="Q226" s="101" t="b">
        <f t="shared" si="44"/>
        <v>1</v>
      </c>
      <c r="R226" s="101" t="b">
        <f t="shared" si="45"/>
        <v>1</v>
      </c>
      <c r="S226" s="101" t="b">
        <f t="shared" si="46"/>
        <v>1</v>
      </c>
      <c r="T226" s="167">
        <f t="shared" si="47"/>
        <v>0</v>
      </c>
      <c r="U226" s="167">
        <f t="shared" si="48"/>
        <v>0</v>
      </c>
      <c r="V226" s="167">
        <f t="shared" si="49"/>
        <v>0</v>
      </c>
    </row>
    <row r="227" spans="1:22" s="91" customFormat="1" ht="20.100000000000001" customHeight="1">
      <c r="A227" s="349"/>
      <c r="B227" s="182" t="s">
        <v>884</v>
      </c>
      <c r="C227" s="37" t="s">
        <v>922</v>
      </c>
      <c r="D227" s="37" t="s">
        <v>90</v>
      </c>
      <c r="E227" s="183">
        <f t="shared" si="59"/>
        <v>1812</v>
      </c>
      <c r="F227" s="183">
        <f t="shared" si="59"/>
        <v>1812</v>
      </c>
      <c r="G227" s="183">
        <f t="shared" si="59"/>
        <v>1812</v>
      </c>
      <c r="H227" s="183">
        <v>1812</v>
      </c>
      <c r="I227" s="183">
        <v>1812</v>
      </c>
      <c r="J227" s="183">
        <v>1812</v>
      </c>
      <c r="K227" s="182" t="s">
        <v>884</v>
      </c>
      <c r="L227" s="37" t="s">
        <v>922</v>
      </c>
      <c r="M227" s="37" t="s">
        <v>90</v>
      </c>
      <c r="N227" s="183">
        <v>1812</v>
      </c>
      <c r="O227" s="183">
        <v>1812</v>
      </c>
      <c r="P227" s="183">
        <v>1812</v>
      </c>
      <c r="Q227" s="101" t="b">
        <f t="shared" si="44"/>
        <v>1</v>
      </c>
      <c r="R227" s="101" t="b">
        <f t="shared" si="45"/>
        <v>1</v>
      </c>
      <c r="S227" s="101" t="b">
        <f t="shared" si="46"/>
        <v>1</v>
      </c>
      <c r="T227" s="167">
        <f t="shared" si="47"/>
        <v>0</v>
      </c>
      <c r="U227" s="167">
        <f t="shared" si="48"/>
        <v>0</v>
      </c>
      <c r="V227" s="167">
        <f t="shared" si="49"/>
        <v>0</v>
      </c>
    </row>
    <row r="228" spans="1:22" s="91" customFormat="1" ht="20.100000000000001" customHeight="1">
      <c r="A228" s="349"/>
      <c r="B228" s="47" t="s">
        <v>145</v>
      </c>
      <c r="C228" s="37" t="s">
        <v>922</v>
      </c>
      <c r="D228" s="37" t="s">
        <v>153</v>
      </c>
      <c r="E228" s="183">
        <f>'Вед-я стр-ра'!H801</f>
        <v>1812</v>
      </c>
      <c r="F228" s="183">
        <f>'Вед-я стр-ра'!I801</f>
        <v>1812</v>
      </c>
      <c r="G228" s="183">
        <f>'Вед-я стр-ра'!J801</f>
        <v>1812</v>
      </c>
      <c r="H228" s="183">
        <v>1812</v>
      </c>
      <c r="I228" s="183">
        <v>1812</v>
      </c>
      <c r="J228" s="183">
        <v>1812</v>
      </c>
      <c r="K228" s="47" t="s">
        <v>145</v>
      </c>
      <c r="L228" s="37" t="s">
        <v>922</v>
      </c>
      <c r="M228" s="37" t="s">
        <v>153</v>
      </c>
      <c r="N228" s="183">
        <v>1812</v>
      </c>
      <c r="O228" s="183">
        <v>1812</v>
      </c>
      <c r="P228" s="183">
        <v>1812</v>
      </c>
      <c r="Q228" s="101" t="b">
        <f t="shared" si="44"/>
        <v>1</v>
      </c>
      <c r="R228" s="101" t="b">
        <f t="shared" si="45"/>
        <v>1</v>
      </c>
      <c r="S228" s="101" t="b">
        <f t="shared" si="46"/>
        <v>1</v>
      </c>
      <c r="T228" s="167">
        <f t="shared" si="47"/>
        <v>0</v>
      </c>
      <c r="U228" s="167">
        <f t="shared" si="48"/>
        <v>0</v>
      </c>
      <c r="V228" s="167">
        <f t="shared" si="49"/>
        <v>0</v>
      </c>
    </row>
    <row r="229" spans="1:22" s="103" customFormat="1" ht="20.100000000000001" customHeight="1">
      <c r="A229" s="350"/>
      <c r="B229" s="178"/>
      <c r="C229" s="239"/>
      <c r="D229" s="239"/>
      <c r="E229" s="240"/>
      <c r="F229" s="240"/>
      <c r="G229" s="240"/>
      <c r="H229" s="240"/>
      <c r="I229" s="240"/>
      <c r="J229" s="240"/>
      <c r="K229" s="178"/>
      <c r="L229" s="239"/>
      <c r="M229" s="239"/>
      <c r="N229" s="240"/>
      <c r="O229" s="240"/>
      <c r="P229" s="240"/>
      <c r="Q229" s="101" t="b">
        <f t="shared" si="44"/>
        <v>1</v>
      </c>
      <c r="R229" s="101" t="b">
        <f t="shared" si="45"/>
        <v>1</v>
      </c>
      <c r="S229" s="101" t="b">
        <f t="shared" si="46"/>
        <v>1</v>
      </c>
      <c r="T229" s="167">
        <f t="shared" si="47"/>
        <v>0</v>
      </c>
      <c r="U229" s="167">
        <f t="shared" si="48"/>
        <v>0</v>
      </c>
      <c r="V229" s="167">
        <f t="shared" si="49"/>
        <v>0</v>
      </c>
    </row>
    <row r="230" spans="1:22" s="101" customFormat="1" ht="20.100000000000001" customHeight="1">
      <c r="A230" s="345"/>
      <c r="B230" s="42" t="s">
        <v>1166</v>
      </c>
      <c r="C230" s="425" t="s">
        <v>296</v>
      </c>
      <c r="D230" s="426" t="s">
        <v>90</v>
      </c>
      <c r="E230" s="245">
        <f>E272+E238+E231</f>
        <v>2006767.4400000004</v>
      </c>
      <c r="F230" s="245">
        <f>F272+F238+F231</f>
        <v>940476.33000000007</v>
      </c>
      <c r="G230" s="245">
        <f>G272+G238+G231</f>
        <v>941401.53</v>
      </c>
      <c r="H230" s="245">
        <v>2066170.9500000002</v>
      </c>
      <c r="I230" s="245">
        <v>940476.33000000007</v>
      </c>
      <c r="J230" s="245">
        <v>941401.53</v>
      </c>
      <c r="K230" s="42" t="s">
        <v>1166</v>
      </c>
      <c r="L230" s="425" t="s">
        <v>296</v>
      </c>
      <c r="M230" s="426" t="s">
        <v>90</v>
      </c>
      <c r="N230" s="245">
        <v>1769356.6500000004</v>
      </c>
      <c r="O230" s="245">
        <v>940340.64000000013</v>
      </c>
      <c r="P230" s="245">
        <v>941265.84</v>
      </c>
      <c r="Q230" s="101" t="b">
        <f t="shared" si="44"/>
        <v>1</v>
      </c>
      <c r="R230" s="101" t="b">
        <f t="shared" si="45"/>
        <v>1</v>
      </c>
      <c r="S230" s="101" t="b">
        <f t="shared" si="46"/>
        <v>1</v>
      </c>
      <c r="T230" s="167">
        <f t="shared" si="47"/>
        <v>237410.79000000004</v>
      </c>
      <c r="U230" s="167">
        <f t="shared" si="48"/>
        <v>135.68999999994412</v>
      </c>
      <c r="V230" s="167">
        <f t="shared" si="49"/>
        <v>135.69000000006054</v>
      </c>
    </row>
    <row r="231" spans="1:22" s="103" customFormat="1" ht="20.100000000000001" customHeight="1">
      <c r="A231" s="350"/>
      <c r="B231" s="235" t="s">
        <v>185</v>
      </c>
      <c r="C231" s="246" t="s">
        <v>434</v>
      </c>
      <c r="D231" s="247" t="s">
        <v>90</v>
      </c>
      <c r="E231" s="237">
        <f>E232+E235</f>
        <v>6680.0000000000009</v>
      </c>
      <c r="F231" s="237">
        <f>F232+F235</f>
        <v>6680.0000000000009</v>
      </c>
      <c r="G231" s="237">
        <f>G232+G235</f>
        <v>6680.0000000000009</v>
      </c>
      <c r="H231" s="237">
        <v>6680.0000000000009</v>
      </c>
      <c r="I231" s="237">
        <v>6680.0000000000009</v>
      </c>
      <c r="J231" s="237">
        <v>6680.0000000000009</v>
      </c>
      <c r="K231" s="235" t="s">
        <v>185</v>
      </c>
      <c r="L231" s="246" t="s">
        <v>434</v>
      </c>
      <c r="M231" s="247" t="s">
        <v>90</v>
      </c>
      <c r="N231" s="237">
        <v>6680.0000000000009</v>
      </c>
      <c r="O231" s="237">
        <v>6680.0000000000009</v>
      </c>
      <c r="P231" s="237">
        <v>6680.0000000000009</v>
      </c>
      <c r="Q231" s="101" t="b">
        <f t="shared" si="44"/>
        <v>1</v>
      </c>
      <c r="R231" s="101" t="b">
        <f t="shared" si="45"/>
        <v>1</v>
      </c>
      <c r="S231" s="101" t="b">
        <f t="shared" si="46"/>
        <v>1</v>
      </c>
      <c r="T231" s="167">
        <f t="shared" si="47"/>
        <v>0</v>
      </c>
      <c r="U231" s="167">
        <f t="shared" si="48"/>
        <v>0</v>
      </c>
      <c r="V231" s="167">
        <f t="shared" si="49"/>
        <v>0</v>
      </c>
    </row>
    <row r="232" spans="1:22" s="90" customFormat="1" ht="20.100000000000001" customHeight="1">
      <c r="A232" s="347"/>
      <c r="B232" s="180" t="s">
        <v>453</v>
      </c>
      <c r="C232" s="238" t="s">
        <v>436</v>
      </c>
      <c r="D232" s="239" t="s">
        <v>90</v>
      </c>
      <c r="E232" s="244">
        <f>E233</f>
        <v>6598.1400000000012</v>
      </c>
      <c r="F232" s="244">
        <f t="shared" ref="F232:G232" si="60">F233</f>
        <v>6598.1400000000012</v>
      </c>
      <c r="G232" s="244">
        <f t="shared" si="60"/>
        <v>6598.1400000000012</v>
      </c>
      <c r="H232" s="244">
        <v>6598.1400000000012</v>
      </c>
      <c r="I232" s="244">
        <v>6598.1400000000012</v>
      </c>
      <c r="J232" s="244">
        <v>6598.1400000000012</v>
      </c>
      <c r="K232" s="180" t="s">
        <v>453</v>
      </c>
      <c r="L232" s="238" t="s">
        <v>436</v>
      </c>
      <c r="M232" s="239" t="s">
        <v>90</v>
      </c>
      <c r="N232" s="244">
        <v>6598.1400000000012</v>
      </c>
      <c r="O232" s="244">
        <v>6598.1400000000012</v>
      </c>
      <c r="P232" s="244">
        <v>6598.1400000000012</v>
      </c>
      <c r="Q232" s="101" t="b">
        <f t="shared" si="44"/>
        <v>1</v>
      </c>
      <c r="R232" s="101" t="b">
        <f t="shared" si="45"/>
        <v>1</v>
      </c>
      <c r="S232" s="101" t="b">
        <f t="shared" si="46"/>
        <v>1</v>
      </c>
      <c r="T232" s="167">
        <f t="shared" si="47"/>
        <v>0</v>
      </c>
      <c r="U232" s="167">
        <f t="shared" si="48"/>
        <v>0</v>
      </c>
      <c r="V232" s="167">
        <f t="shared" si="49"/>
        <v>0</v>
      </c>
    </row>
    <row r="233" spans="1:22" s="90" customFormat="1" ht="20.100000000000001" customHeight="1">
      <c r="A233" s="347"/>
      <c r="B233" s="180" t="s">
        <v>178</v>
      </c>
      <c r="C233" s="238" t="s">
        <v>437</v>
      </c>
      <c r="D233" s="239" t="s">
        <v>90</v>
      </c>
      <c r="E233" s="244">
        <f>E234</f>
        <v>6598.1400000000012</v>
      </c>
      <c r="F233" s="244">
        <f>F234</f>
        <v>6598.1400000000012</v>
      </c>
      <c r="G233" s="244">
        <f>G234</f>
        <v>6598.1400000000012</v>
      </c>
      <c r="H233" s="244">
        <v>6598.1400000000012</v>
      </c>
      <c r="I233" s="244">
        <v>6598.1400000000012</v>
      </c>
      <c r="J233" s="244">
        <v>6598.1400000000012</v>
      </c>
      <c r="K233" s="180" t="s">
        <v>178</v>
      </c>
      <c r="L233" s="238" t="s">
        <v>437</v>
      </c>
      <c r="M233" s="239" t="s">
        <v>90</v>
      </c>
      <c r="N233" s="244">
        <v>6598.1400000000012</v>
      </c>
      <c r="O233" s="244">
        <v>6598.1400000000012</v>
      </c>
      <c r="P233" s="244">
        <v>6598.1400000000012</v>
      </c>
      <c r="Q233" s="101" t="b">
        <f t="shared" si="44"/>
        <v>1</v>
      </c>
      <c r="R233" s="101" t="b">
        <f t="shared" si="45"/>
        <v>1</v>
      </c>
      <c r="S233" s="101" t="b">
        <f t="shared" si="46"/>
        <v>1</v>
      </c>
      <c r="T233" s="167">
        <f t="shared" si="47"/>
        <v>0</v>
      </c>
      <c r="U233" s="167">
        <f t="shared" si="48"/>
        <v>0</v>
      </c>
      <c r="V233" s="167">
        <f t="shared" si="49"/>
        <v>0</v>
      </c>
    </row>
    <row r="234" spans="1:22" s="90" customFormat="1" ht="20.100000000000001" customHeight="1">
      <c r="A234" s="347"/>
      <c r="B234" s="180" t="s">
        <v>145</v>
      </c>
      <c r="C234" s="238" t="s">
        <v>437</v>
      </c>
      <c r="D234" s="239" t="s">
        <v>153</v>
      </c>
      <c r="E234" s="244">
        <f>'Вед-я стр-ра'!H941+'Вед-я стр-ра'!H1011+'Вед-я стр-ра'!H1074</f>
        <v>6598.1400000000012</v>
      </c>
      <c r="F234" s="244">
        <f>'Вед-я стр-ра'!I941+'Вед-я стр-ра'!I1011+'Вед-я стр-ра'!I1074</f>
        <v>6598.1400000000012</v>
      </c>
      <c r="G234" s="244">
        <f>'Вед-я стр-ра'!J941+'Вед-я стр-ра'!J1011+'Вед-я стр-ра'!J1074</f>
        <v>6598.1400000000012</v>
      </c>
      <c r="H234" s="244">
        <v>6598.1400000000012</v>
      </c>
      <c r="I234" s="244">
        <v>6598.1400000000012</v>
      </c>
      <c r="J234" s="244">
        <v>6598.1400000000012</v>
      </c>
      <c r="K234" s="180" t="s">
        <v>145</v>
      </c>
      <c r="L234" s="238" t="s">
        <v>437</v>
      </c>
      <c r="M234" s="239" t="s">
        <v>153</v>
      </c>
      <c r="N234" s="244">
        <v>6598.1400000000012</v>
      </c>
      <c r="O234" s="244">
        <v>6598.1400000000012</v>
      </c>
      <c r="P234" s="244">
        <v>6598.1400000000012</v>
      </c>
      <c r="Q234" s="101" t="b">
        <f t="shared" si="44"/>
        <v>1</v>
      </c>
      <c r="R234" s="101" t="b">
        <f t="shared" si="45"/>
        <v>1</v>
      </c>
      <c r="S234" s="101" t="b">
        <f t="shared" si="46"/>
        <v>1</v>
      </c>
      <c r="T234" s="167">
        <f t="shared" si="47"/>
        <v>0</v>
      </c>
      <c r="U234" s="167">
        <f t="shared" si="48"/>
        <v>0</v>
      </c>
      <c r="V234" s="167">
        <f t="shared" si="49"/>
        <v>0</v>
      </c>
    </row>
    <row r="235" spans="1:22" s="90" customFormat="1" ht="20.100000000000001" customHeight="1">
      <c r="A235" s="347"/>
      <c r="B235" s="515" t="s">
        <v>1231</v>
      </c>
      <c r="C235" s="238" t="s">
        <v>455</v>
      </c>
      <c r="D235" s="239" t="s">
        <v>90</v>
      </c>
      <c r="E235" s="244">
        <f t="shared" ref="E235:G236" si="61">E236</f>
        <v>81.86</v>
      </c>
      <c r="F235" s="244">
        <f t="shared" si="61"/>
        <v>81.86</v>
      </c>
      <c r="G235" s="244">
        <f t="shared" si="61"/>
        <v>81.86</v>
      </c>
      <c r="H235" s="244">
        <v>81.86</v>
      </c>
      <c r="I235" s="244">
        <v>81.86</v>
      </c>
      <c r="J235" s="244">
        <v>81.86</v>
      </c>
      <c r="K235" s="178" t="s">
        <v>574</v>
      </c>
      <c r="L235" s="238" t="s">
        <v>455</v>
      </c>
      <c r="M235" s="239" t="s">
        <v>90</v>
      </c>
      <c r="N235" s="244">
        <v>81.86</v>
      </c>
      <c r="O235" s="244">
        <v>81.86</v>
      </c>
      <c r="P235" s="244">
        <v>81.86</v>
      </c>
      <c r="Q235" s="101" t="b">
        <f t="shared" si="44"/>
        <v>0</v>
      </c>
      <c r="R235" s="101" t="b">
        <f t="shared" si="45"/>
        <v>1</v>
      </c>
      <c r="S235" s="101" t="b">
        <f t="shared" si="46"/>
        <v>1</v>
      </c>
      <c r="T235" s="167">
        <f t="shared" si="47"/>
        <v>0</v>
      </c>
      <c r="U235" s="167">
        <f t="shared" si="48"/>
        <v>0</v>
      </c>
      <c r="V235" s="167">
        <f t="shared" si="49"/>
        <v>0</v>
      </c>
    </row>
    <row r="236" spans="1:22" s="90" customFormat="1" ht="20.100000000000001" customHeight="1">
      <c r="A236" s="347"/>
      <c r="B236" s="178" t="s">
        <v>575</v>
      </c>
      <c r="C236" s="238" t="s">
        <v>456</v>
      </c>
      <c r="D236" s="239" t="s">
        <v>90</v>
      </c>
      <c r="E236" s="244">
        <f t="shared" si="61"/>
        <v>81.86</v>
      </c>
      <c r="F236" s="244">
        <f t="shared" si="61"/>
        <v>81.86</v>
      </c>
      <c r="G236" s="244">
        <f t="shared" si="61"/>
        <v>81.86</v>
      </c>
      <c r="H236" s="244">
        <v>81.86</v>
      </c>
      <c r="I236" s="244">
        <v>81.86</v>
      </c>
      <c r="J236" s="244">
        <v>81.86</v>
      </c>
      <c r="K236" s="178" t="s">
        <v>575</v>
      </c>
      <c r="L236" s="238" t="s">
        <v>456</v>
      </c>
      <c r="M236" s="239" t="s">
        <v>90</v>
      </c>
      <c r="N236" s="244">
        <v>81.86</v>
      </c>
      <c r="O236" s="244">
        <v>81.86</v>
      </c>
      <c r="P236" s="244">
        <v>81.86</v>
      </c>
      <c r="Q236" s="101" t="b">
        <f t="shared" si="44"/>
        <v>1</v>
      </c>
      <c r="R236" s="101" t="b">
        <f t="shared" si="45"/>
        <v>1</v>
      </c>
      <c r="S236" s="101" t="b">
        <f t="shared" si="46"/>
        <v>1</v>
      </c>
      <c r="T236" s="167">
        <f t="shared" si="47"/>
        <v>0</v>
      </c>
      <c r="U236" s="167">
        <f t="shared" si="48"/>
        <v>0</v>
      </c>
      <c r="V236" s="167">
        <f t="shared" si="49"/>
        <v>0</v>
      </c>
    </row>
    <row r="237" spans="1:22" s="90" customFormat="1" ht="20.100000000000001" customHeight="1">
      <c r="A237" s="347"/>
      <c r="B237" s="178" t="s">
        <v>145</v>
      </c>
      <c r="C237" s="238" t="s">
        <v>456</v>
      </c>
      <c r="D237" s="239" t="s">
        <v>153</v>
      </c>
      <c r="E237" s="244">
        <f>'Вед-я стр-ра'!H1178</f>
        <v>81.86</v>
      </c>
      <c r="F237" s="244">
        <f>'Вед-я стр-ра'!I1178</f>
        <v>81.86</v>
      </c>
      <c r="G237" s="244">
        <f>'Вед-я стр-ра'!J1178</f>
        <v>81.86</v>
      </c>
      <c r="H237" s="244">
        <v>81.86</v>
      </c>
      <c r="I237" s="244">
        <v>81.86</v>
      </c>
      <c r="J237" s="244">
        <v>81.86</v>
      </c>
      <c r="K237" s="178" t="s">
        <v>145</v>
      </c>
      <c r="L237" s="238" t="s">
        <v>456</v>
      </c>
      <c r="M237" s="239" t="s">
        <v>153</v>
      </c>
      <c r="N237" s="244">
        <v>81.86</v>
      </c>
      <c r="O237" s="244">
        <v>81.86</v>
      </c>
      <c r="P237" s="244">
        <v>81.86</v>
      </c>
      <c r="Q237" s="101" t="b">
        <f t="shared" si="44"/>
        <v>1</v>
      </c>
      <c r="R237" s="101" t="b">
        <f t="shared" si="45"/>
        <v>1</v>
      </c>
      <c r="S237" s="101" t="b">
        <f t="shared" si="46"/>
        <v>1</v>
      </c>
      <c r="T237" s="167">
        <f t="shared" si="47"/>
        <v>0</v>
      </c>
      <c r="U237" s="167">
        <f t="shared" si="48"/>
        <v>0</v>
      </c>
      <c r="V237" s="167">
        <f t="shared" si="49"/>
        <v>0</v>
      </c>
    </row>
    <row r="238" spans="1:22" s="103" customFormat="1" ht="20.100000000000001" customHeight="1">
      <c r="A238" s="350"/>
      <c r="B238" s="235" t="s">
        <v>1213</v>
      </c>
      <c r="C238" s="247" t="s">
        <v>297</v>
      </c>
      <c r="D238" s="247" t="s">
        <v>90</v>
      </c>
      <c r="E238" s="248">
        <f>E239+E267</f>
        <v>1542220.2900000003</v>
      </c>
      <c r="F238" s="248">
        <f>F239+F267</f>
        <v>530852.55000000005</v>
      </c>
      <c r="G238" s="248">
        <f>G239+G267</f>
        <v>531054.28</v>
      </c>
      <c r="H238" s="248">
        <v>1601623.8</v>
      </c>
      <c r="I238" s="248">
        <v>530852.55000000005</v>
      </c>
      <c r="J238" s="248">
        <v>531054.28</v>
      </c>
      <c r="K238" s="235" t="s">
        <v>1213</v>
      </c>
      <c r="L238" s="247" t="s">
        <v>297</v>
      </c>
      <c r="M238" s="247" t="s">
        <v>90</v>
      </c>
      <c r="N238" s="248">
        <v>1317603.8300000003</v>
      </c>
      <c r="O238" s="248">
        <v>530852.55000000005</v>
      </c>
      <c r="P238" s="248">
        <v>531054.28</v>
      </c>
      <c r="Q238" s="101" t="b">
        <f t="shared" si="44"/>
        <v>1</v>
      </c>
      <c r="R238" s="101" t="b">
        <f t="shared" si="45"/>
        <v>1</v>
      </c>
      <c r="S238" s="101" t="b">
        <f t="shared" si="46"/>
        <v>1</v>
      </c>
      <c r="T238" s="167">
        <f t="shared" si="47"/>
        <v>224616.45999999996</v>
      </c>
      <c r="U238" s="167">
        <f t="shared" si="48"/>
        <v>0</v>
      </c>
      <c r="V238" s="167">
        <f t="shared" si="49"/>
        <v>0</v>
      </c>
    </row>
    <row r="239" spans="1:22" s="90" customFormat="1" ht="20.100000000000001" customHeight="1">
      <c r="A239" s="347"/>
      <c r="B239" s="178" t="s">
        <v>554</v>
      </c>
      <c r="C239" s="239" t="s">
        <v>298</v>
      </c>
      <c r="D239" s="239" t="s">
        <v>90</v>
      </c>
      <c r="E239" s="240">
        <f>E240+E242+E244+E246+E248+E250+E254+E259+E264+E262+E252+E256</f>
        <v>1464968.0200000003</v>
      </c>
      <c r="F239" s="240">
        <f>F240+F242+F244+F246+F248+F250+F254+F259+F264+F262</f>
        <v>455413.8</v>
      </c>
      <c r="G239" s="240">
        <f>G240+G242+G244+G246+G248+G250+G254+G259+G264+G262</f>
        <v>455431.62</v>
      </c>
      <c r="H239" s="240">
        <v>1524371.53</v>
      </c>
      <c r="I239" s="240">
        <v>455413.8</v>
      </c>
      <c r="J239" s="240">
        <v>455431.62</v>
      </c>
      <c r="K239" s="178" t="s">
        <v>554</v>
      </c>
      <c r="L239" s="239" t="s">
        <v>298</v>
      </c>
      <c r="M239" s="239" t="s">
        <v>90</v>
      </c>
      <c r="N239" s="240">
        <v>1240351.5600000003</v>
      </c>
      <c r="O239" s="240">
        <v>455413.8</v>
      </c>
      <c r="P239" s="240">
        <v>455431.62</v>
      </c>
      <c r="Q239" s="101" t="b">
        <f t="shared" si="44"/>
        <v>1</v>
      </c>
      <c r="R239" s="101" t="b">
        <f t="shared" si="45"/>
        <v>1</v>
      </c>
      <c r="S239" s="101" t="b">
        <f t="shared" si="46"/>
        <v>1</v>
      </c>
      <c r="T239" s="167">
        <f t="shared" si="47"/>
        <v>224616.45999999996</v>
      </c>
      <c r="U239" s="167">
        <f t="shared" si="48"/>
        <v>0</v>
      </c>
      <c r="V239" s="167">
        <f t="shared" si="49"/>
        <v>0</v>
      </c>
    </row>
    <row r="240" spans="1:22" s="90" customFormat="1" ht="20.100000000000001" customHeight="1">
      <c r="A240" s="347"/>
      <c r="B240" s="178" t="s">
        <v>760</v>
      </c>
      <c r="C240" s="239" t="s">
        <v>431</v>
      </c>
      <c r="D240" s="239" t="s">
        <v>90</v>
      </c>
      <c r="E240" s="240">
        <f>SUM(E241:E241)</f>
        <v>90249.61</v>
      </c>
      <c r="F240" s="240">
        <f>SUM(F241:F241)</f>
        <v>76261.13</v>
      </c>
      <c r="G240" s="240">
        <f>SUM(G241:G241)</f>
        <v>76261.13</v>
      </c>
      <c r="H240" s="240">
        <v>90249.61</v>
      </c>
      <c r="I240" s="240">
        <v>76261.13</v>
      </c>
      <c r="J240" s="240">
        <v>76261.13</v>
      </c>
      <c r="K240" s="178" t="s">
        <v>760</v>
      </c>
      <c r="L240" s="239" t="s">
        <v>431</v>
      </c>
      <c r="M240" s="239" t="s">
        <v>90</v>
      </c>
      <c r="N240" s="240">
        <v>65387.3</v>
      </c>
      <c r="O240" s="240">
        <v>76261.13</v>
      </c>
      <c r="P240" s="240">
        <v>76261.13</v>
      </c>
      <c r="Q240" s="101" t="b">
        <f t="shared" si="44"/>
        <v>1</v>
      </c>
      <c r="R240" s="101" t="b">
        <f t="shared" si="45"/>
        <v>1</v>
      </c>
      <c r="S240" s="101" t="b">
        <f t="shared" si="46"/>
        <v>1</v>
      </c>
      <c r="T240" s="167">
        <f t="shared" si="47"/>
        <v>24862.309999999998</v>
      </c>
      <c r="U240" s="167">
        <f t="shared" si="48"/>
        <v>0</v>
      </c>
      <c r="V240" s="167">
        <f t="shared" si="49"/>
        <v>0</v>
      </c>
    </row>
    <row r="241" spans="1:22" s="90" customFormat="1" ht="20.100000000000001" customHeight="1">
      <c r="A241" s="347"/>
      <c r="B241" s="178" t="s">
        <v>510</v>
      </c>
      <c r="C241" s="239" t="s">
        <v>431</v>
      </c>
      <c r="D241" s="239" t="s">
        <v>153</v>
      </c>
      <c r="E241" s="240">
        <f>'Вед-я стр-ра'!H1143</f>
        <v>90249.61</v>
      </c>
      <c r="F241" s="240">
        <f>'Вед-я стр-ра'!I1143</f>
        <v>76261.13</v>
      </c>
      <c r="G241" s="240">
        <f>'Вед-я стр-ра'!J1143</f>
        <v>76261.13</v>
      </c>
      <c r="H241" s="240">
        <v>90249.61</v>
      </c>
      <c r="I241" s="240">
        <v>76261.13</v>
      </c>
      <c r="J241" s="240">
        <v>76261.13</v>
      </c>
      <c r="K241" s="178" t="s">
        <v>510</v>
      </c>
      <c r="L241" s="239" t="s">
        <v>431</v>
      </c>
      <c r="M241" s="239" t="s">
        <v>153</v>
      </c>
      <c r="N241" s="240">
        <v>65387.3</v>
      </c>
      <c r="O241" s="240">
        <v>76261.13</v>
      </c>
      <c r="P241" s="240">
        <v>76261.13</v>
      </c>
      <c r="Q241" s="101" t="b">
        <f t="shared" si="44"/>
        <v>1</v>
      </c>
      <c r="R241" s="101" t="b">
        <f t="shared" si="45"/>
        <v>1</v>
      </c>
      <c r="S241" s="101" t="b">
        <f t="shared" si="46"/>
        <v>1</v>
      </c>
      <c r="T241" s="167">
        <f t="shared" si="47"/>
        <v>24862.309999999998</v>
      </c>
      <c r="U241" s="167">
        <f t="shared" si="48"/>
        <v>0</v>
      </c>
      <c r="V241" s="167">
        <f t="shared" si="49"/>
        <v>0</v>
      </c>
    </row>
    <row r="242" spans="1:22" s="90" customFormat="1" ht="20.100000000000001" customHeight="1">
      <c r="A242" s="347"/>
      <c r="B242" s="178" t="s">
        <v>432</v>
      </c>
      <c r="C242" s="239" t="s">
        <v>433</v>
      </c>
      <c r="D242" s="239" t="s">
        <v>90</v>
      </c>
      <c r="E242" s="240">
        <f>E243</f>
        <v>34597.19</v>
      </c>
      <c r="F242" s="240">
        <f>F243</f>
        <v>42971.61</v>
      </c>
      <c r="G242" s="240">
        <f>G243</f>
        <v>42971.61</v>
      </c>
      <c r="H242" s="240">
        <v>34597.19</v>
      </c>
      <c r="I242" s="240">
        <v>42971.61</v>
      </c>
      <c r="J242" s="240">
        <v>42971.61</v>
      </c>
      <c r="K242" s="178" t="s">
        <v>432</v>
      </c>
      <c r="L242" s="239" t="s">
        <v>433</v>
      </c>
      <c r="M242" s="239" t="s">
        <v>90</v>
      </c>
      <c r="N242" s="240">
        <v>30008.91</v>
      </c>
      <c r="O242" s="240">
        <v>42971.61</v>
      </c>
      <c r="P242" s="240">
        <v>42971.61</v>
      </c>
      <c r="Q242" s="101" t="b">
        <f t="shared" si="44"/>
        <v>1</v>
      </c>
      <c r="R242" s="101" t="b">
        <f t="shared" si="45"/>
        <v>1</v>
      </c>
      <c r="S242" s="101" t="b">
        <f t="shared" si="46"/>
        <v>1</v>
      </c>
      <c r="T242" s="167">
        <f t="shared" si="47"/>
        <v>4588.2800000000025</v>
      </c>
      <c r="U242" s="167">
        <f t="shared" si="48"/>
        <v>0</v>
      </c>
      <c r="V242" s="167">
        <f t="shared" si="49"/>
        <v>0</v>
      </c>
    </row>
    <row r="243" spans="1:22" s="90" customFormat="1" ht="20.100000000000001" customHeight="1">
      <c r="A243" s="347"/>
      <c r="B243" s="178" t="s">
        <v>145</v>
      </c>
      <c r="C243" s="239" t="s">
        <v>433</v>
      </c>
      <c r="D243" s="239" t="s">
        <v>153</v>
      </c>
      <c r="E243" s="240">
        <f>'Вед-я стр-ра'!H931+'Вед-я стр-ра'!H1001+'Вед-я стр-ра'!H1065</f>
        <v>34597.19</v>
      </c>
      <c r="F243" s="240">
        <f>'Вед-я стр-ра'!I931+'Вед-я стр-ра'!I1001+'Вед-я стр-ра'!I1065</f>
        <v>42971.61</v>
      </c>
      <c r="G243" s="240">
        <f>'Вед-я стр-ра'!J931+'Вед-я стр-ра'!J1001+'Вед-я стр-ра'!J1065</f>
        <v>42971.61</v>
      </c>
      <c r="H243" s="240">
        <v>34597.19</v>
      </c>
      <c r="I243" s="240">
        <v>42971.61</v>
      </c>
      <c r="J243" s="240">
        <v>42971.61</v>
      </c>
      <c r="K243" s="178" t="s">
        <v>145</v>
      </c>
      <c r="L243" s="239" t="s">
        <v>433</v>
      </c>
      <c r="M243" s="239" t="s">
        <v>153</v>
      </c>
      <c r="N243" s="240">
        <v>30008.91</v>
      </c>
      <c r="O243" s="240">
        <v>42971.61</v>
      </c>
      <c r="P243" s="240">
        <v>42971.61</v>
      </c>
      <c r="Q243" s="101" t="b">
        <f t="shared" si="44"/>
        <v>1</v>
      </c>
      <c r="R243" s="101" t="b">
        <f t="shared" si="45"/>
        <v>1</v>
      </c>
      <c r="S243" s="101" t="b">
        <f t="shared" si="46"/>
        <v>1</v>
      </c>
      <c r="T243" s="167">
        <f t="shared" si="47"/>
        <v>4588.2800000000025</v>
      </c>
      <c r="U243" s="167">
        <f t="shared" si="48"/>
        <v>0</v>
      </c>
      <c r="V243" s="167">
        <f t="shared" si="49"/>
        <v>0</v>
      </c>
    </row>
    <row r="244" spans="1:22" s="90" customFormat="1" ht="20.100000000000001" customHeight="1">
      <c r="A244" s="347"/>
      <c r="B244" s="178" t="s">
        <v>451</v>
      </c>
      <c r="C244" s="239" t="s">
        <v>452</v>
      </c>
      <c r="D244" s="239" t="s">
        <v>90</v>
      </c>
      <c r="E244" s="240">
        <f>E245</f>
        <v>2350</v>
      </c>
      <c r="F244" s="240">
        <f>F245</f>
        <v>1350</v>
      </c>
      <c r="G244" s="240">
        <f>G245</f>
        <v>1350</v>
      </c>
      <c r="H244" s="240">
        <v>2350</v>
      </c>
      <c r="I244" s="240">
        <v>1350</v>
      </c>
      <c r="J244" s="240">
        <v>1350</v>
      </c>
      <c r="K244" s="178" t="s">
        <v>451</v>
      </c>
      <c r="L244" s="239" t="s">
        <v>452</v>
      </c>
      <c r="M244" s="239" t="s">
        <v>90</v>
      </c>
      <c r="N244" s="240">
        <v>2350</v>
      </c>
      <c r="O244" s="240">
        <v>1350</v>
      </c>
      <c r="P244" s="240">
        <v>1350</v>
      </c>
      <c r="Q244" s="101" t="b">
        <f t="shared" si="44"/>
        <v>1</v>
      </c>
      <c r="R244" s="101" t="b">
        <f t="shared" si="45"/>
        <v>1</v>
      </c>
      <c r="S244" s="101" t="b">
        <f t="shared" si="46"/>
        <v>1</v>
      </c>
      <c r="T244" s="167">
        <f t="shared" si="47"/>
        <v>0</v>
      </c>
      <c r="U244" s="167">
        <f t="shared" si="48"/>
        <v>0</v>
      </c>
      <c r="V244" s="167">
        <f t="shared" si="49"/>
        <v>0</v>
      </c>
    </row>
    <row r="245" spans="1:22" s="90" customFormat="1" ht="20.100000000000001" customHeight="1">
      <c r="A245" s="347"/>
      <c r="B245" s="178" t="s">
        <v>145</v>
      </c>
      <c r="C245" s="239" t="s">
        <v>452</v>
      </c>
      <c r="D245" s="239" t="s">
        <v>153</v>
      </c>
      <c r="E245" s="240">
        <f>'Вед-я стр-ра'!H1145</f>
        <v>2350</v>
      </c>
      <c r="F245" s="240">
        <f>'Вед-я стр-ра'!I1145</f>
        <v>1350</v>
      </c>
      <c r="G245" s="240">
        <f>'Вед-я стр-ра'!J1145</f>
        <v>1350</v>
      </c>
      <c r="H245" s="240">
        <v>2350</v>
      </c>
      <c r="I245" s="240">
        <v>1350</v>
      </c>
      <c r="J245" s="240">
        <v>1350</v>
      </c>
      <c r="K245" s="178" t="s">
        <v>145</v>
      </c>
      <c r="L245" s="239" t="s">
        <v>452</v>
      </c>
      <c r="M245" s="239" t="s">
        <v>153</v>
      </c>
      <c r="N245" s="240">
        <v>2350</v>
      </c>
      <c r="O245" s="240">
        <v>1350</v>
      </c>
      <c r="P245" s="240">
        <v>1350</v>
      </c>
      <c r="Q245" s="101" t="b">
        <f t="shared" si="44"/>
        <v>1</v>
      </c>
      <c r="R245" s="101" t="b">
        <f t="shared" si="45"/>
        <v>1</v>
      </c>
      <c r="S245" s="101" t="b">
        <f t="shared" si="46"/>
        <v>1</v>
      </c>
      <c r="T245" s="167">
        <f t="shared" si="47"/>
        <v>0</v>
      </c>
      <c r="U245" s="167">
        <f t="shared" si="48"/>
        <v>0</v>
      </c>
      <c r="V245" s="167">
        <f t="shared" si="49"/>
        <v>0</v>
      </c>
    </row>
    <row r="246" spans="1:22" s="90" customFormat="1" ht="20.100000000000001" customHeight="1">
      <c r="A246" s="347"/>
      <c r="B246" s="182" t="s">
        <v>763</v>
      </c>
      <c r="C246" s="37" t="s">
        <v>771</v>
      </c>
      <c r="D246" s="57" t="s">
        <v>90</v>
      </c>
      <c r="E246" s="240">
        <f>E247</f>
        <v>314398.80000000005</v>
      </c>
      <c r="F246" s="240">
        <f>F247</f>
        <v>313553.94</v>
      </c>
      <c r="G246" s="240">
        <f>G247</f>
        <v>313571.76</v>
      </c>
      <c r="H246" s="240">
        <v>314398.80000000005</v>
      </c>
      <c r="I246" s="240">
        <v>313553.94</v>
      </c>
      <c r="J246" s="240">
        <v>313571.76</v>
      </c>
      <c r="K246" s="182" t="s">
        <v>763</v>
      </c>
      <c r="L246" s="37" t="s">
        <v>771</v>
      </c>
      <c r="M246" s="57" t="s">
        <v>90</v>
      </c>
      <c r="N246" s="240">
        <v>314398.80000000005</v>
      </c>
      <c r="O246" s="240">
        <v>313553.94</v>
      </c>
      <c r="P246" s="240">
        <v>313571.76</v>
      </c>
      <c r="Q246" s="101" t="b">
        <f t="shared" si="44"/>
        <v>1</v>
      </c>
      <c r="R246" s="101" t="b">
        <f t="shared" si="45"/>
        <v>1</v>
      </c>
      <c r="S246" s="101" t="b">
        <f t="shared" si="46"/>
        <v>1</v>
      </c>
      <c r="T246" s="167">
        <f t="shared" si="47"/>
        <v>0</v>
      </c>
      <c r="U246" s="167">
        <f t="shared" si="48"/>
        <v>0</v>
      </c>
      <c r="V246" s="167">
        <f t="shared" si="49"/>
        <v>0</v>
      </c>
    </row>
    <row r="247" spans="1:22" s="90" customFormat="1" ht="20.100000000000001" customHeight="1">
      <c r="A247" s="347"/>
      <c r="B247" s="182" t="s">
        <v>145</v>
      </c>
      <c r="C247" s="37" t="s">
        <v>771</v>
      </c>
      <c r="D247" s="57" t="s">
        <v>153</v>
      </c>
      <c r="E247" s="240">
        <f>'Вед-я стр-ра'!H934+'Вед-я стр-ра'!H1004+'Вед-я стр-ра'!H1068</f>
        <v>314398.80000000005</v>
      </c>
      <c r="F247" s="240">
        <f>'Вед-я стр-ра'!I934+'Вед-я стр-ра'!I1004+'Вед-я стр-ра'!I1068</f>
        <v>313553.94</v>
      </c>
      <c r="G247" s="240">
        <f>'Вед-я стр-ра'!J934+'Вед-я стр-ра'!J1004+'Вед-я стр-ра'!J1068</f>
        <v>313571.76</v>
      </c>
      <c r="H247" s="240">
        <v>314398.80000000005</v>
      </c>
      <c r="I247" s="240">
        <v>313553.94</v>
      </c>
      <c r="J247" s="240">
        <v>313571.76</v>
      </c>
      <c r="K247" s="182" t="s">
        <v>145</v>
      </c>
      <c r="L247" s="37" t="s">
        <v>771</v>
      </c>
      <c r="M247" s="57" t="s">
        <v>153</v>
      </c>
      <c r="N247" s="240">
        <v>314398.80000000005</v>
      </c>
      <c r="O247" s="240">
        <v>313553.94</v>
      </c>
      <c r="P247" s="240">
        <v>313571.76</v>
      </c>
      <c r="Q247" s="101" t="b">
        <f t="shared" ref="Q247:Q295" si="62">B247=K247</f>
        <v>1</v>
      </c>
      <c r="R247" s="101" t="b">
        <f t="shared" ref="R247:R295" si="63">C247=L247</f>
        <v>1</v>
      </c>
      <c r="S247" s="101" t="b">
        <f t="shared" ref="S247:S295" si="64">D247=M247</f>
        <v>1</v>
      </c>
      <c r="T247" s="167">
        <f t="shared" ref="T247:T295" si="65">E247-N247</f>
        <v>0</v>
      </c>
      <c r="U247" s="167">
        <f t="shared" ref="U247:U295" si="66">F247-O247</f>
        <v>0</v>
      </c>
      <c r="V247" s="167">
        <f t="shared" ref="V247:V295" si="67">G247-P247</f>
        <v>0</v>
      </c>
    </row>
    <row r="248" spans="1:22" s="389" customFormat="1" ht="20.100000000000001" customHeight="1">
      <c r="A248" s="388"/>
      <c r="B248" s="182" t="s">
        <v>758</v>
      </c>
      <c r="C248" s="37" t="s">
        <v>759</v>
      </c>
      <c r="D248" s="36" t="s">
        <v>90</v>
      </c>
      <c r="E248" s="240">
        <f>E249</f>
        <v>100</v>
      </c>
      <c r="F248" s="240">
        <f>F249</f>
        <v>0</v>
      </c>
      <c r="G248" s="240">
        <f>G249</f>
        <v>0</v>
      </c>
      <c r="H248" s="240">
        <v>100</v>
      </c>
      <c r="I248" s="240">
        <v>0</v>
      </c>
      <c r="J248" s="240">
        <v>0</v>
      </c>
      <c r="K248" s="182" t="s">
        <v>758</v>
      </c>
      <c r="L248" s="37" t="s">
        <v>759</v>
      </c>
      <c r="M248" s="36" t="s">
        <v>90</v>
      </c>
      <c r="N248" s="240">
        <v>100</v>
      </c>
      <c r="O248" s="240">
        <v>0</v>
      </c>
      <c r="P248" s="240">
        <v>0</v>
      </c>
      <c r="Q248" s="101" t="b">
        <f t="shared" si="62"/>
        <v>1</v>
      </c>
      <c r="R248" s="101" t="b">
        <f t="shared" si="63"/>
        <v>1</v>
      </c>
      <c r="S248" s="101" t="b">
        <f t="shared" si="64"/>
        <v>1</v>
      </c>
      <c r="T248" s="167">
        <f t="shared" si="65"/>
        <v>0</v>
      </c>
      <c r="U248" s="167">
        <f t="shared" si="66"/>
        <v>0</v>
      </c>
      <c r="V248" s="167">
        <f t="shared" si="67"/>
        <v>0</v>
      </c>
    </row>
    <row r="249" spans="1:22" s="389" customFormat="1" ht="20.100000000000001" customHeight="1">
      <c r="A249" s="388"/>
      <c r="B249" s="114" t="s">
        <v>216</v>
      </c>
      <c r="C249" s="112" t="s">
        <v>759</v>
      </c>
      <c r="D249" s="111" t="s">
        <v>141</v>
      </c>
      <c r="E249" s="242">
        <f>'Вед-я стр-ра'!H1147</f>
        <v>100</v>
      </c>
      <c r="F249" s="242">
        <f>'Вед-я стр-ра'!I1147</f>
        <v>0</v>
      </c>
      <c r="G249" s="242">
        <f>'Вед-я стр-ра'!J1147</f>
        <v>0</v>
      </c>
      <c r="H249" s="242">
        <v>100</v>
      </c>
      <c r="I249" s="242">
        <v>0</v>
      </c>
      <c r="J249" s="242">
        <v>0</v>
      </c>
      <c r="K249" s="114" t="s">
        <v>216</v>
      </c>
      <c r="L249" s="112" t="s">
        <v>759</v>
      </c>
      <c r="M249" s="111" t="s">
        <v>141</v>
      </c>
      <c r="N249" s="242">
        <v>100</v>
      </c>
      <c r="O249" s="242">
        <v>0</v>
      </c>
      <c r="P249" s="242">
        <v>0</v>
      </c>
      <c r="Q249" s="101" t="b">
        <f t="shared" si="62"/>
        <v>1</v>
      </c>
      <c r="R249" s="101" t="b">
        <f t="shared" si="63"/>
        <v>1</v>
      </c>
      <c r="S249" s="101" t="b">
        <f t="shared" si="64"/>
        <v>1</v>
      </c>
      <c r="T249" s="167">
        <f t="shared" si="65"/>
        <v>0</v>
      </c>
      <c r="U249" s="167">
        <f t="shared" si="66"/>
        <v>0</v>
      </c>
      <c r="V249" s="167">
        <f t="shared" si="67"/>
        <v>0</v>
      </c>
    </row>
    <row r="250" spans="1:22" s="90" customFormat="1" ht="20.100000000000001" customHeight="1">
      <c r="A250" s="347"/>
      <c r="B250" s="495" t="s">
        <v>909</v>
      </c>
      <c r="C250" s="70" t="s">
        <v>822</v>
      </c>
      <c r="D250" s="36" t="s">
        <v>90</v>
      </c>
      <c r="E250" s="69">
        <f>E251</f>
        <v>20378.57</v>
      </c>
      <c r="F250" s="69">
        <f>F251</f>
        <v>20378.57</v>
      </c>
      <c r="G250" s="69">
        <f>G251</f>
        <v>20378.57</v>
      </c>
      <c r="H250" s="69">
        <v>20378.57</v>
      </c>
      <c r="I250" s="69">
        <v>20378.57</v>
      </c>
      <c r="J250" s="69">
        <v>20378.57</v>
      </c>
      <c r="K250" s="495" t="s">
        <v>909</v>
      </c>
      <c r="L250" s="70" t="s">
        <v>822</v>
      </c>
      <c r="M250" s="36" t="s">
        <v>90</v>
      </c>
      <c r="N250" s="69">
        <v>20378.57</v>
      </c>
      <c r="O250" s="69">
        <v>20378.57</v>
      </c>
      <c r="P250" s="69">
        <v>20378.57</v>
      </c>
      <c r="Q250" s="101" t="b">
        <f t="shared" si="62"/>
        <v>1</v>
      </c>
      <c r="R250" s="101" t="b">
        <f t="shared" si="63"/>
        <v>1</v>
      </c>
      <c r="S250" s="101" t="b">
        <f t="shared" si="64"/>
        <v>1</v>
      </c>
      <c r="T250" s="167">
        <f t="shared" si="65"/>
        <v>0</v>
      </c>
      <c r="U250" s="167">
        <f t="shared" si="66"/>
        <v>0</v>
      </c>
      <c r="V250" s="167">
        <f t="shared" si="67"/>
        <v>0</v>
      </c>
    </row>
    <row r="251" spans="1:22" s="90" customFormat="1" ht="20.100000000000001" customHeight="1">
      <c r="A251" s="347"/>
      <c r="B251" s="182" t="s">
        <v>145</v>
      </c>
      <c r="C251" s="70" t="s">
        <v>822</v>
      </c>
      <c r="D251" s="36" t="s">
        <v>153</v>
      </c>
      <c r="E251" s="69">
        <f>'Вед-я стр-ра'!H1149</f>
        <v>20378.57</v>
      </c>
      <c r="F251" s="69">
        <f>'Вед-я стр-ра'!I1149</f>
        <v>20378.57</v>
      </c>
      <c r="G251" s="69">
        <f>'Вед-я стр-ра'!J1149</f>
        <v>20378.57</v>
      </c>
      <c r="H251" s="69">
        <v>20378.57</v>
      </c>
      <c r="I251" s="69">
        <v>20378.57</v>
      </c>
      <c r="J251" s="69">
        <v>20378.57</v>
      </c>
      <c r="K251" s="182" t="s">
        <v>145</v>
      </c>
      <c r="L251" s="70" t="s">
        <v>822</v>
      </c>
      <c r="M251" s="36" t="s">
        <v>153</v>
      </c>
      <c r="N251" s="69">
        <v>20378.57</v>
      </c>
      <c r="O251" s="69">
        <v>20378.57</v>
      </c>
      <c r="P251" s="69">
        <v>20378.57</v>
      </c>
      <c r="Q251" s="101" t="b">
        <f t="shared" si="62"/>
        <v>1</v>
      </c>
      <c r="R251" s="101" t="b">
        <f t="shared" si="63"/>
        <v>1</v>
      </c>
      <c r="S251" s="101" t="b">
        <f t="shared" si="64"/>
        <v>1</v>
      </c>
      <c r="T251" s="167">
        <f t="shared" si="65"/>
        <v>0</v>
      </c>
      <c r="U251" s="167">
        <f t="shared" si="66"/>
        <v>0</v>
      </c>
      <c r="V251" s="167">
        <f t="shared" si="67"/>
        <v>0</v>
      </c>
    </row>
    <row r="252" spans="1:22" s="90" customFormat="1" ht="20.100000000000001" customHeight="1">
      <c r="A252" s="347"/>
      <c r="B252" s="523" t="s">
        <v>1139</v>
      </c>
      <c r="C252" s="524" t="s">
        <v>1138</v>
      </c>
      <c r="D252" s="525" t="s">
        <v>90</v>
      </c>
      <c r="E252" s="526">
        <f>E253</f>
        <v>557599.68000000005</v>
      </c>
      <c r="F252" s="69"/>
      <c r="G252" s="69"/>
      <c r="H252" s="69">
        <v>557599.68000000005</v>
      </c>
      <c r="I252" s="69"/>
      <c r="J252" s="69"/>
      <c r="K252" s="182" t="s">
        <v>1139</v>
      </c>
      <c r="L252" s="37" t="s">
        <v>1138</v>
      </c>
      <c r="M252" s="36" t="s">
        <v>90</v>
      </c>
      <c r="N252" s="69">
        <v>363159</v>
      </c>
      <c r="O252" s="69"/>
      <c r="P252" s="69"/>
      <c r="Q252" s="101" t="b">
        <f t="shared" si="62"/>
        <v>1</v>
      </c>
      <c r="R252" s="101" t="b">
        <f t="shared" si="63"/>
        <v>1</v>
      </c>
      <c r="S252" s="101" t="b">
        <f t="shared" si="64"/>
        <v>1</v>
      </c>
      <c r="T252" s="167">
        <f t="shared" si="65"/>
        <v>194440.68000000005</v>
      </c>
      <c r="U252" s="167">
        <f t="shared" si="66"/>
        <v>0</v>
      </c>
      <c r="V252" s="167">
        <f t="shared" si="67"/>
        <v>0</v>
      </c>
    </row>
    <row r="253" spans="1:22" s="90" customFormat="1" ht="20.100000000000001" customHeight="1">
      <c r="A253" s="347"/>
      <c r="B253" s="523" t="s">
        <v>216</v>
      </c>
      <c r="C253" s="524" t="s">
        <v>1138</v>
      </c>
      <c r="D253" s="525" t="s">
        <v>141</v>
      </c>
      <c r="E253" s="526">
        <f>'Вед-я стр-ра'!H1151</f>
        <v>557599.68000000005</v>
      </c>
      <c r="F253" s="69"/>
      <c r="G253" s="69"/>
      <c r="H253" s="69">
        <v>557599.68000000005</v>
      </c>
      <c r="I253" s="69"/>
      <c r="J253" s="69"/>
      <c r="K253" s="114" t="s">
        <v>216</v>
      </c>
      <c r="L253" s="112" t="s">
        <v>1138</v>
      </c>
      <c r="M253" s="111" t="s">
        <v>141</v>
      </c>
      <c r="N253" s="115">
        <v>363159</v>
      </c>
      <c r="O253" s="69"/>
      <c r="P253" s="69"/>
      <c r="Q253" s="101" t="b">
        <f t="shared" si="62"/>
        <v>1</v>
      </c>
      <c r="R253" s="101" t="b">
        <f t="shared" si="63"/>
        <v>1</v>
      </c>
      <c r="S253" s="101" t="b">
        <f t="shared" si="64"/>
        <v>1</v>
      </c>
      <c r="T253" s="167">
        <f t="shared" si="65"/>
        <v>194440.68000000005</v>
      </c>
      <c r="U253" s="167">
        <f t="shared" si="66"/>
        <v>0</v>
      </c>
      <c r="V253" s="167">
        <f t="shared" si="67"/>
        <v>0</v>
      </c>
    </row>
    <row r="254" spans="1:22" s="389" customFormat="1" ht="20.100000000000001" customHeight="1">
      <c r="A254" s="388"/>
      <c r="B254" s="182" t="s">
        <v>991</v>
      </c>
      <c r="C254" s="519" t="s">
        <v>1251</v>
      </c>
      <c r="D254" s="36" t="s">
        <v>90</v>
      </c>
      <c r="E254" s="240">
        <f>E255</f>
        <v>100</v>
      </c>
      <c r="F254" s="240">
        <f>F255</f>
        <v>100</v>
      </c>
      <c r="G254" s="240">
        <f>G255</f>
        <v>100</v>
      </c>
      <c r="H254" s="240">
        <v>100</v>
      </c>
      <c r="I254" s="240">
        <v>100</v>
      </c>
      <c r="J254" s="240">
        <v>100</v>
      </c>
      <c r="K254" s="182" t="s">
        <v>991</v>
      </c>
      <c r="L254" s="70" t="s">
        <v>992</v>
      </c>
      <c r="M254" s="36" t="s">
        <v>90</v>
      </c>
      <c r="N254" s="240">
        <v>100</v>
      </c>
      <c r="O254" s="240">
        <v>100</v>
      </c>
      <c r="P254" s="240">
        <v>100</v>
      </c>
      <c r="Q254" s="101" t="b">
        <f t="shared" si="62"/>
        <v>1</v>
      </c>
      <c r="R254" s="101" t="b">
        <f t="shared" si="63"/>
        <v>0</v>
      </c>
      <c r="S254" s="101" t="b">
        <f t="shared" si="64"/>
        <v>1</v>
      </c>
      <c r="T254" s="167">
        <f t="shared" si="65"/>
        <v>0</v>
      </c>
      <c r="U254" s="167">
        <f t="shared" si="66"/>
        <v>0</v>
      </c>
      <c r="V254" s="167">
        <f t="shared" si="67"/>
        <v>0</v>
      </c>
    </row>
    <row r="255" spans="1:22" s="389" customFormat="1" ht="20.100000000000001" customHeight="1">
      <c r="A255" s="388"/>
      <c r="B255" s="182" t="s">
        <v>145</v>
      </c>
      <c r="C255" s="519" t="s">
        <v>1251</v>
      </c>
      <c r="D255" s="36" t="s">
        <v>153</v>
      </c>
      <c r="E255" s="240">
        <f>'Вед-я стр-ра'!H1153</f>
        <v>100</v>
      </c>
      <c r="F255" s="240">
        <f>'Вед-я стр-ра'!I1153</f>
        <v>100</v>
      </c>
      <c r="G255" s="240">
        <f>'Вед-я стр-ра'!J1153</f>
        <v>100</v>
      </c>
      <c r="H255" s="240">
        <v>100</v>
      </c>
      <c r="I255" s="240">
        <v>100</v>
      </c>
      <c r="J255" s="240">
        <v>100</v>
      </c>
      <c r="K255" s="182" t="s">
        <v>145</v>
      </c>
      <c r="L255" s="70" t="s">
        <v>992</v>
      </c>
      <c r="M255" s="36" t="s">
        <v>153</v>
      </c>
      <c r="N255" s="240">
        <v>100</v>
      </c>
      <c r="O255" s="240">
        <v>100</v>
      </c>
      <c r="P255" s="240">
        <v>100</v>
      </c>
      <c r="Q255" s="101" t="b">
        <f t="shared" si="62"/>
        <v>1</v>
      </c>
      <c r="R255" s="101" t="b">
        <f t="shared" si="63"/>
        <v>0</v>
      </c>
      <c r="S255" s="101" t="b">
        <f t="shared" si="64"/>
        <v>1</v>
      </c>
      <c r="T255" s="167">
        <f t="shared" si="65"/>
        <v>0</v>
      </c>
      <c r="U255" s="167">
        <f t="shared" si="66"/>
        <v>0</v>
      </c>
      <c r="V255" s="167">
        <f t="shared" si="67"/>
        <v>0</v>
      </c>
    </row>
    <row r="256" spans="1:22" s="389" customFormat="1" ht="20.100000000000001" customHeight="1">
      <c r="A256" s="388"/>
      <c r="B256" s="496" t="s">
        <v>1252</v>
      </c>
      <c r="C256" s="517" t="s">
        <v>1253</v>
      </c>
      <c r="D256" s="498" t="s">
        <v>90</v>
      </c>
      <c r="E256" s="240">
        <f>E257</f>
        <v>60128.700000000004</v>
      </c>
      <c r="F256" s="240">
        <f t="shared" ref="F256:G256" si="68">F257</f>
        <v>0</v>
      </c>
      <c r="G256" s="240">
        <f t="shared" si="68"/>
        <v>0</v>
      </c>
      <c r="H256" s="240">
        <v>60128.700000000004</v>
      </c>
      <c r="I256" s="240">
        <v>0</v>
      </c>
      <c r="J256" s="240">
        <v>0</v>
      </c>
      <c r="K256" s="182"/>
      <c r="L256" s="70"/>
      <c r="M256" s="36"/>
      <c r="N256" s="240"/>
      <c r="O256" s="240"/>
      <c r="P256" s="240"/>
      <c r="Q256" s="101"/>
      <c r="R256" s="101"/>
      <c r="S256" s="101"/>
      <c r="T256" s="167"/>
      <c r="U256" s="167"/>
      <c r="V256" s="167"/>
    </row>
    <row r="257" spans="1:22" s="389" customFormat="1" ht="20.100000000000001" customHeight="1">
      <c r="A257" s="388"/>
      <c r="B257" s="114" t="s">
        <v>216</v>
      </c>
      <c r="C257" s="112" t="s">
        <v>1253</v>
      </c>
      <c r="D257" s="111" t="s">
        <v>141</v>
      </c>
      <c r="E257" s="115">
        <f>'Вед-я стр-ра'!H1155</f>
        <v>60128.700000000004</v>
      </c>
      <c r="F257" s="115">
        <f>'Вед-я стр-ра'!I1155</f>
        <v>0</v>
      </c>
      <c r="G257" s="115">
        <f>'Вед-я стр-ра'!J1155</f>
        <v>0</v>
      </c>
      <c r="H257" s="115">
        <v>60128.700000000004</v>
      </c>
      <c r="I257" s="115">
        <v>0</v>
      </c>
      <c r="J257" s="115">
        <v>0</v>
      </c>
      <c r="K257" s="182"/>
      <c r="L257" s="70"/>
      <c r="M257" s="36"/>
      <c r="N257" s="240"/>
      <c r="O257" s="240"/>
      <c r="P257" s="240"/>
      <c r="Q257" s="101"/>
      <c r="R257" s="101"/>
      <c r="S257" s="101"/>
      <c r="T257" s="167"/>
      <c r="U257" s="167"/>
      <c r="V257" s="167"/>
    </row>
    <row r="258" spans="1:22" s="389" customFormat="1" ht="20.100000000000001" customHeight="1">
      <c r="A258" s="388"/>
      <c r="B258" s="182" t="s">
        <v>1065</v>
      </c>
      <c r="C258" s="37" t="s">
        <v>1066</v>
      </c>
      <c r="D258" s="36" t="s">
        <v>90</v>
      </c>
      <c r="E258" s="240">
        <f t="shared" ref="E258:G259" si="69">E259</f>
        <v>322260.61000000004</v>
      </c>
      <c r="F258" s="240">
        <f t="shared" si="69"/>
        <v>0</v>
      </c>
      <c r="G258" s="240">
        <f t="shared" si="69"/>
        <v>0</v>
      </c>
      <c r="H258" s="240">
        <v>322260.61000000004</v>
      </c>
      <c r="I258" s="240">
        <v>0</v>
      </c>
      <c r="J258" s="240">
        <v>0</v>
      </c>
      <c r="K258" s="182" t="s">
        <v>1065</v>
      </c>
      <c r="L258" s="37" t="s">
        <v>1066</v>
      </c>
      <c r="M258" s="36" t="s">
        <v>90</v>
      </c>
      <c r="N258" s="240">
        <v>322260.61000000004</v>
      </c>
      <c r="O258" s="240">
        <v>0</v>
      </c>
      <c r="P258" s="240">
        <v>0</v>
      </c>
      <c r="Q258" s="101" t="b">
        <f t="shared" si="62"/>
        <v>1</v>
      </c>
      <c r="R258" s="101" t="b">
        <f t="shared" si="63"/>
        <v>1</v>
      </c>
      <c r="S258" s="101" t="b">
        <f t="shared" si="64"/>
        <v>1</v>
      </c>
      <c r="T258" s="167">
        <f t="shared" si="65"/>
        <v>0</v>
      </c>
      <c r="U258" s="167">
        <f t="shared" si="66"/>
        <v>0</v>
      </c>
      <c r="V258" s="167">
        <f t="shared" si="67"/>
        <v>0</v>
      </c>
    </row>
    <row r="259" spans="1:22" s="90" customFormat="1" ht="20.100000000000001" customHeight="1">
      <c r="A259" s="347"/>
      <c r="B259" s="182" t="str">
        <f>'Вед-я стр-ра'!B1157</f>
        <v>Обеспечение дорожной деятельности в рамках реализации национального проекта «Безопасные качественные дороги»</v>
      </c>
      <c r="C259" s="37" t="s">
        <v>961</v>
      </c>
      <c r="D259" s="239" t="s">
        <v>90</v>
      </c>
      <c r="E259" s="240">
        <f t="shared" si="69"/>
        <v>322260.61000000004</v>
      </c>
      <c r="F259" s="240">
        <f t="shared" si="69"/>
        <v>0</v>
      </c>
      <c r="G259" s="240">
        <f t="shared" si="69"/>
        <v>0</v>
      </c>
      <c r="H259" s="240">
        <v>322260.61000000004</v>
      </c>
      <c r="I259" s="240">
        <v>0</v>
      </c>
      <c r="J259" s="240">
        <v>0</v>
      </c>
      <c r="K259" s="182" t="s">
        <v>1024</v>
      </c>
      <c r="L259" s="37" t="s">
        <v>961</v>
      </c>
      <c r="M259" s="239" t="s">
        <v>90</v>
      </c>
      <c r="N259" s="240">
        <v>322260.61000000004</v>
      </c>
      <c r="O259" s="240">
        <v>0</v>
      </c>
      <c r="P259" s="240">
        <v>0</v>
      </c>
      <c r="Q259" s="101" t="b">
        <f t="shared" si="62"/>
        <v>1</v>
      </c>
      <c r="R259" s="101" t="b">
        <f t="shared" si="63"/>
        <v>1</v>
      </c>
      <c r="S259" s="101" t="b">
        <f t="shared" si="64"/>
        <v>1</v>
      </c>
      <c r="T259" s="167">
        <f t="shared" si="65"/>
        <v>0</v>
      </c>
      <c r="U259" s="167">
        <f t="shared" si="66"/>
        <v>0</v>
      </c>
      <c r="V259" s="167">
        <f t="shared" si="67"/>
        <v>0</v>
      </c>
    </row>
    <row r="260" spans="1:22" s="90" customFormat="1" ht="20.100000000000001" customHeight="1">
      <c r="A260" s="347"/>
      <c r="B260" s="180" t="s">
        <v>145</v>
      </c>
      <c r="C260" s="37" t="s">
        <v>961</v>
      </c>
      <c r="D260" s="239" t="s">
        <v>153</v>
      </c>
      <c r="E260" s="240">
        <f>'Вед-я стр-ра'!H1158</f>
        <v>322260.61000000004</v>
      </c>
      <c r="F260" s="240">
        <f>'Вед-я стр-ра'!I1158</f>
        <v>0</v>
      </c>
      <c r="G260" s="240">
        <f>'Вед-я стр-ра'!J1158</f>
        <v>0</v>
      </c>
      <c r="H260" s="240">
        <v>322260.61000000004</v>
      </c>
      <c r="I260" s="240">
        <v>0</v>
      </c>
      <c r="J260" s="240">
        <v>0</v>
      </c>
      <c r="K260" s="180" t="s">
        <v>145</v>
      </c>
      <c r="L260" s="37" t="s">
        <v>961</v>
      </c>
      <c r="M260" s="239" t="s">
        <v>153</v>
      </c>
      <c r="N260" s="240">
        <v>322260.61000000004</v>
      </c>
      <c r="O260" s="240">
        <v>0</v>
      </c>
      <c r="P260" s="240">
        <v>0</v>
      </c>
      <c r="Q260" s="101" t="b">
        <f t="shared" si="62"/>
        <v>1</v>
      </c>
      <c r="R260" s="101" t="b">
        <f t="shared" si="63"/>
        <v>1</v>
      </c>
      <c r="S260" s="101" t="b">
        <f t="shared" si="64"/>
        <v>1</v>
      </c>
      <c r="T260" s="167">
        <f t="shared" si="65"/>
        <v>0</v>
      </c>
      <c r="U260" s="167">
        <f t="shared" si="66"/>
        <v>0</v>
      </c>
      <c r="V260" s="167">
        <f t="shared" si="67"/>
        <v>0</v>
      </c>
    </row>
    <row r="261" spans="1:22" s="90" customFormat="1" ht="20.100000000000001" customHeight="1">
      <c r="A261" s="347"/>
      <c r="B261" s="182" t="s">
        <v>1068</v>
      </c>
      <c r="C261" s="37" t="s">
        <v>1067</v>
      </c>
      <c r="D261" s="36" t="s">
        <v>90</v>
      </c>
      <c r="E261" s="240">
        <f t="shared" ref="E261:G262" si="70">E262</f>
        <v>62006.310000000005</v>
      </c>
      <c r="F261" s="240">
        <f t="shared" si="70"/>
        <v>0</v>
      </c>
      <c r="G261" s="240">
        <f t="shared" si="70"/>
        <v>0</v>
      </c>
      <c r="H261" s="240">
        <v>121409.82</v>
      </c>
      <c r="I261" s="240">
        <v>0</v>
      </c>
      <c r="J261" s="240">
        <v>0</v>
      </c>
      <c r="K261" s="182" t="s">
        <v>1068</v>
      </c>
      <c r="L261" s="37" t="s">
        <v>1067</v>
      </c>
      <c r="M261" s="36" t="s">
        <v>90</v>
      </c>
      <c r="N261" s="240">
        <v>121409.82</v>
      </c>
      <c r="O261" s="240">
        <v>0</v>
      </c>
      <c r="P261" s="240">
        <v>0</v>
      </c>
      <c r="Q261" s="101" t="b">
        <f t="shared" si="62"/>
        <v>1</v>
      </c>
      <c r="R261" s="101" t="b">
        <f t="shared" si="63"/>
        <v>1</v>
      </c>
      <c r="S261" s="101" t="b">
        <f t="shared" si="64"/>
        <v>1</v>
      </c>
      <c r="T261" s="167">
        <f t="shared" si="65"/>
        <v>-59403.51</v>
      </c>
      <c r="U261" s="167">
        <f t="shared" si="66"/>
        <v>0</v>
      </c>
      <c r="V261" s="167">
        <f t="shared" si="67"/>
        <v>0</v>
      </c>
    </row>
    <row r="262" spans="1:22" s="90" customFormat="1" ht="20.100000000000001" customHeight="1">
      <c r="A262" s="347"/>
      <c r="B262" s="182" t="s">
        <v>1012</v>
      </c>
      <c r="C262" s="37" t="s">
        <v>1013</v>
      </c>
      <c r="D262" s="36" t="s">
        <v>90</v>
      </c>
      <c r="E262" s="240">
        <f t="shared" si="70"/>
        <v>62006.310000000005</v>
      </c>
      <c r="F262" s="240">
        <f t="shared" si="70"/>
        <v>0</v>
      </c>
      <c r="G262" s="240">
        <f t="shared" si="70"/>
        <v>0</v>
      </c>
      <c r="H262" s="240">
        <v>121409.82</v>
      </c>
      <c r="I262" s="240">
        <v>0</v>
      </c>
      <c r="J262" s="240">
        <v>0</v>
      </c>
      <c r="K262" s="182" t="s">
        <v>1012</v>
      </c>
      <c r="L262" s="37" t="s">
        <v>1013</v>
      </c>
      <c r="M262" s="36" t="s">
        <v>90</v>
      </c>
      <c r="N262" s="240">
        <v>121409.82</v>
      </c>
      <c r="O262" s="240">
        <v>0</v>
      </c>
      <c r="P262" s="240">
        <v>0</v>
      </c>
      <c r="Q262" s="101" t="b">
        <f t="shared" si="62"/>
        <v>1</v>
      </c>
      <c r="R262" s="101" t="b">
        <f t="shared" si="63"/>
        <v>1</v>
      </c>
      <c r="S262" s="101" t="b">
        <f t="shared" si="64"/>
        <v>1</v>
      </c>
      <c r="T262" s="167">
        <f t="shared" si="65"/>
        <v>-59403.51</v>
      </c>
      <c r="U262" s="167">
        <f t="shared" si="66"/>
        <v>0</v>
      </c>
      <c r="V262" s="167">
        <f t="shared" si="67"/>
        <v>0</v>
      </c>
    </row>
    <row r="263" spans="1:22" s="90" customFormat="1" ht="20.100000000000001" customHeight="1">
      <c r="A263" s="347"/>
      <c r="B263" s="182" t="s">
        <v>145</v>
      </c>
      <c r="C263" s="37" t="s">
        <v>1013</v>
      </c>
      <c r="D263" s="36" t="s">
        <v>153</v>
      </c>
      <c r="E263" s="240">
        <f>'Вед-я стр-ра'!H1161</f>
        <v>62006.310000000005</v>
      </c>
      <c r="F263" s="240">
        <f>'Вед-я стр-ра'!I1161</f>
        <v>0</v>
      </c>
      <c r="G263" s="240">
        <f>'Вед-я стр-ра'!J1161</f>
        <v>0</v>
      </c>
      <c r="H263" s="240">
        <v>121409.82</v>
      </c>
      <c r="I263" s="240">
        <v>0</v>
      </c>
      <c r="J263" s="240">
        <v>0</v>
      </c>
      <c r="K263" s="182" t="s">
        <v>145</v>
      </c>
      <c r="L263" s="37" t="s">
        <v>1013</v>
      </c>
      <c r="M263" s="36" t="s">
        <v>153</v>
      </c>
      <c r="N263" s="240">
        <v>121409.82</v>
      </c>
      <c r="O263" s="240">
        <v>0</v>
      </c>
      <c r="P263" s="240">
        <v>0</v>
      </c>
      <c r="Q263" s="101" t="b">
        <f t="shared" si="62"/>
        <v>1</v>
      </c>
      <c r="R263" s="101" t="b">
        <f t="shared" si="63"/>
        <v>1</v>
      </c>
      <c r="S263" s="101" t="b">
        <f t="shared" si="64"/>
        <v>1</v>
      </c>
      <c r="T263" s="167">
        <f t="shared" si="65"/>
        <v>-59403.51</v>
      </c>
      <c r="U263" s="167">
        <f t="shared" si="66"/>
        <v>0</v>
      </c>
      <c r="V263" s="167">
        <f t="shared" si="67"/>
        <v>0</v>
      </c>
    </row>
    <row r="264" spans="1:22" s="90" customFormat="1" ht="20.100000000000001" customHeight="1">
      <c r="A264" s="347"/>
      <c r="B264" s="396" t="s">
        <v>1057</v>
      </c>
      <c r="C264" s="37" t="s">
        <v>969</v>
      </c>
      <c r="D264" s="37" t="s">
        <v>90</v>
      </c>
      <c r="E264" s="183">
        <f>'Вед-я стр-ра'!H389</f>
        <v>798.55000000000007</v>
      </c>
      <c r="F264" s="183">
        <f>'Вед-я стр-ра'!I389</f>
        <v>798.55000000000007</v>
      </c>
      <c r="G264" s="183">
        <f>'Вед-я стр-ра'!J389</f>
        <v>798.55000000000007</v>
      </c>
      <c r="H264" s="183">
        <v>798.55000000000007</v>
      </c>
      <c r="I264" s="183">
        <v>798.55000000000007</v>
      </c>
      <c r="J264" s="183">
        <v>798.55000000000007</v>
      </c>
      <c r="K264" s="396" t="s">
        <v>1057</v>
      </c>
      <c r="L264" s="37" t="s">
        <v>969</v>
      </c>
      <c r="M264" s="37" t="s">
        <v>90</v>
      </c>
      <c r="N264" s="183">
        <v>798.55000000000007</v>
      </c>
      <c r="O264" s="183">
        <v>798.55000000000007</v>
      </c>
      <c r="P264" s="183">
        <v>798.55000000000007</v>
      </c>
      <c r="Q264" s="101" t="b">
        <f t="shared" si="62"/>
        <v>1</v>
      </c>
      <c r="R264" s="101" t="b">
        <f t="shared" si="63"/>
        <v>1</v>
      </c>
      <c r="S264" s="101" t="b">
        <f t="shared" si="64"/>
        <v>1</v>
      </c>
      <c r="T264" s="167">
        <f t="shared" si="65"/>
        <v>0</v>
      </c>
      <c r="U264" s="167">
        <f t="shared" si="66"/>
        <v>0</v>
      </c>
      <c r="V264" s="167">
        <f t="shared" si="67"/>
        <v>0</v>
      </c>
    </row>
    <row r="265" spans="1:22" s="90" customFormat="1" ht="20.100000000000001" customHeight="1">
      <c r="A265" s="347"/>
      <c r="B265" s="396" t="s">
        <v>1058</v>
      </c>
      <c r="C265" s="37" t="s">
        <v>970</v>
      </c>
      <c r="D265" s="37" t="s">
        <v>90</v>
      </c>
      <c r="E265" s="183">
        <f>'Вед-я стр-ра'!H390</f>
        <v>798.55000000000007</v>
      </c>
      <c r="F265" s="183">
        <f>'Вед-я стр-ра'!I390</f>
        <v>798.55000000000007</v>
      </c>
      <c r="G265" s="183">
        <f>'Вед-я стр-ра'!J390</f>
        <v>798.55000000000007</v>
      </c>
      <c r="H265" s="183">
        <v>798.55000000000007</v>
      </c>
      <c r="I265" s="183">
        <v>798.55000000000007</v>
      </c>
      <c r="J265" s="183">
        <v>798.55000000000007</v>
      </c>
      <c r="K265" s="396" t="s">
        <v>1058</v>
      </c>
      <c r="L265" s="37" t="s">
        <v>970</v>
      </c>
      <c r="M265" s="37" t="s">
        <v>90</v>
      </c>
      <c r="N265" s="183">
        <v>798.55000000000007</v>
      </c>
      <c r="O265" s="183">
        <v>798.55000000000007</v>
      </c>
      <c r="P265" s="183">
        <v>798.55000000000007</v>
      </c>
      <c r="Q265" s="101" t="b">
        <f t="shared" si="62"/>
        <v>1</v>
      </c>
      <c r="R265" s="101" t="b">
        <f t="shared" si="63"/>
        <v>1</v>
      </c>
      <c r="S265" s="101" t="b">
        <f t="shared" si="64"/>
        <v>1</v>
      </c>
      <c r="T265" s="167">
        <f t="shared" si="65"/>
        <v>0</v>
      </c>
      <c r="U265" s="167">
        <f t="shared" si="66"/>
        <v>0</v>
      </c>
      <c r="V265" s="167">
        <f t="shared" si="67"/>
        <v>0</v>
      </c>
    </row>
    <row r="266" spans="1:22" s="90" customFormat="1" ht="20.100000000000001" customHeight="1">
      <c r="A266" s="347"/>
      <c r="B266" s="23" t="s">
        <v>132</v>
      </c>
      <c r="C266" s="37" t="s">
        <v>970</v>
      </c>
      <c r="D266" s="37" t="s">
        <v>171</v>
      </c>
      <c r="E266" s="183">
        <f>'Вед-я стр-ра'!H391</f>
        <v>798.55000000000007</v>
      </c>
      <c r="F266" s="183">
        <f>'Вед-я стр-ра'!I391</f>
        <v>798.55000000000007</v>
      </c>
      <c r="G266" s="183">
        <f>'Вед-я стр-ра'!J391</f>
        <v>798.55000000000007</v>
      </c>
      <c r="H266" s="183">
        <v>798.55000000000007</v>
      </c>
      <c r="I266" s="183">
        <v>798.55000000000007</v>
      </c>
      <c r="J266" s="183">
        <v>798.55000000000007</v>
      </c>
      <c r="K266" s="23" t="s">
        <v>132</v>
      </c>
      <c r="L266" s="37" t="s">
        <v>970</v>
      </c>
      <c r="M266" s="37" t="s">
        <v>171</v>
      </c>
      <c r="N266" s="183">
        <v>798.55000000000007</v>
      </c>
      <c r="O266" s="183">
        <v>798.55000000000007</v>
      </c>
      <c r="P266" s="183">
        <v>798.55000000000007</v>
      </c>
      <c r="Q266" s="101" t="b">
        <f t="shared" si="62"/>
        <v>1</v>
      </c>
      <c r="R266" s="101" t="b">
        <f t="shared" si="63"/>
        <v>1</v>
      </c>
      <c r="S266" s="101" t="b">
        <f t="shared" si="64"/>
        <v>1</v>
      </c>
      <c r="T266" s="167">
        <f t="shared" si="65"/>
        <v>0</v>
      </c>
      <c r="U266" s="167">
        <f t="shared" si="66"/>
        <v>0</v>
      </c>
      <c r="V266" s="167">
        <f t="shared" si="67"/>
        <v>0</v>
      </c>
    </row>
    <row r="267" spans="1:22" s="90" customFormat="1" ht="20.100000000000001" customHeight="1">
      <c r="A267" s="347"/>
      <c r="B267" s="178" t="s">
        <v>561</v>
      </c>
      <c r="C267" s="239" t="s">
        <v>559</v>
      </c>
      <c r="D267" s="239" t="s">
        <v>90</v>
      </c>
      <c r="E267" s="240">
        <f>E270+E268</f>
        <v>77252.26999999999</v>
      </c>
      <c r="F267" s="240">
        <f t="shared" ref="F267:G267" si="71">F270+F268</f>
        <v>75438.75</v>
      </c>
      <c r="G267" s="240">
        <f t="shared" si="71"/>
        <v>75622.66</v>
      </c>
      <c r="H267" s="240">
        <v>77252.26999999999</v>
      </c>
      <c r="I267" s="240">
        <v>75438.75</v>
      </c>
      <c r="J267" s="240">
        <v>75622.66</v>
      </c>
      <c r="K267" s="178" t="s">
        <v>561</v>
      </c>
      <c r="L267" s="239" t="s">
        <v>559</v>
      </c>
      <c r="M267" s="239" t="s">
        <v>90</v>
      </c>
      <c r="N267" s="240">
        <v>77252.26999999999</v>
      </c>
      <c r="O267" s="240">
        <v>75438.75</v>
      </c>
      <c r="P267" s="240">
        <v>75622.66</v>
      </c>
      <c r="Q267" s="101" t="b">
        <f t="shared" si="62"/>
        <v>1</v>
      </c>
      <c r="R267" s="101" t="b">
        <f t="shared" si="63"/>
        <v>1</v>
      </c>
      <c r="S267" s="101" t="b">
        <f t="shared" si="64"/>
        <v>1</v>
      </c>
      <c r="T267" s="167">
        <f t="shared" si="65"/>
        <v>0</v>
      </c>
      <c r="U267" s="167">
        <f t="shared" si="66"/>
        <v>0</v>
      </c>
      <c r="V267" s="167">
        <f t="shared" si="67"/>
        <v>0</v>
      </c>
    </row>
    <row r="268" spans="1:22" s="90" customFormat="1" ht="20.100000000000001" customHeight="1">
      <c r="A268" s="347"/>
      <c r="B268" s="178" t="s">
        <v>254</v>
      </c>
      <c r="C268" s="239" t="s">
        <v>783</v>
      </c>
      <c r="D268" s="239" t="s">
        <v>90</v>
      </c>
      <c r="E268" s="240">
        <f>E269</f>
        <v>65484.95</v>
      </c>
      <c r="F268" s="240">
        <f>F269</f>
        <v>65515.69</v>
      </c>
      <c r="G268" s="240">
        <f>G269</f>
        <v>65547.67</v>
      </c>
      <c r="H268" s="240">
        <v>65484.95</v>
      </c>
      <c r="I268" s="240">
        <v>65515.69</v>
      </c>
      <c r="J268" s="240">
        <v>65547.67</v>
      </c>
      <c r="K268" s="178" t="s">
        <v>254</v>
      </c>
      <c r="L268" s="239" t="s">
        <v>783</v>
      </c>
      <c r="M268" s="239" t="s">
        <v>90</v>
      </c>
      <c r="N268" s="240">
        <v>65484.95</v>
      </c>
      <c r="O268" s="240">
        <v>65515.69</v>
      </c>
      <c r="P268" s="240">
        <v>65547.67</v>
      </c>
      <c r="Q268" s="101" t="b">
        <f t="shared" si="62"/>
        <v>1</v>
      </c>
      <c r="R268" s="101" t="b">
        <f t="shared" si="63"/>
        <v>1</v>
      </c>
      <c r="S268" s="101" t="b">
        <f t="shared" si="64"/>
        <v>1</v>
      </c>
      <c r="T268" s="167">
        <f t="shared" si="65"/>
        <v>0</v>
      </c>
      <c r="U268" s="167">
        <f t="shared" si="66"/>
        <v>0</v>
      </c>
      <c r="V268" s="167">
        <f t="shared" si="67"/>
        <v>0</v>
      </c>
    </row>
    <row r="269" spans="1:22" s="90" customFormat="1" ht="20.100000000000001" customHeight="1">
      <c r="A269" s="347"/>
      <c r="B269" s="178" t="s">
        <v>132</v>
      </c>
      <c r="C269" s="239" t="s">
        <v>783</v>
      </c>
      <c r="D269" s="239" t="s">
        <v>171</v>
      </c>
      <c r="E269" s="240">
        <f>'Вед-я стр-ра'!H1164</f>
        <v>65484.95</v>
      </c>
      <c r="F269" s="240">
        <f>'Вед-я стр-ра'!I1164</f>
        <v>65515.69</v>
      </c>
      <c r="G269" s="240">
        <f>'Вед-я стр-ра'!J1164</f>
        <v>65547.67</v>
      </c>
      <c r="H269" s="240">
        <v>65484.95</v>
      </c>
      <c r="I269" s="240">
        <v>65515.69</v>
      </c>
      <c r="J269" s="240">
        <v>65547.67</v>
      </c>
      <c r="K269" s="178" t="s">
        <v>132</v>
      </c>
      <c r="L269" s="239" t="s">
        <v>783</v>
      </c>
      <c r="M269" s="239" t="s">
        <v>171</v>
      </c>
      <c r="N269" s="240">
        <v>65484.95</v>
      </c>
      <c r="O269" s="240">
        <v>65515.69</v>
      </c>
      <c r="P269" s="240">
        <v>65547.67</v>
      </c>
      <c r="Q269" s="101" t="b">
        <f t="shared" si="62"/>
        <v>1</v>
      </c>
      <c r="R269" s="101" t="b">
        <f t="shared" si="63"/>
        <v>1</v>
      </c>
      <c r="S269" s="101" t="b">
        <f t="shared" si="64"/>
        <v>1</v>
      </c>
      <c r="T269" s="167">
        <f t="shared" si="65"/>
        <v>0</v>
      </c>
      <c r="U269" s="167">
        <f t="shared" si="66"/>
        <v>0</v>
      </c>
      <c r="V269" s="167">
        <f t="shared" si="67"/>
        <v>0</v>
      </c>
    </row>
    <row r="270" spans="1:22" s="90" customFormat="1" ht="20.100000000000001" customHeight="1">
      <c r="A270" s="347"/>
      <c r="B270" s="180" t="s">
        <v>213</v>
      </c>
      <c r="C270" s="239" t="s">
        <v>560</v>
      </c>
      <c r="D270" s="239" t="s">
        <v>90</v>
      </c>
      <c r="E270" s="240">
        <f>E271</f>
        <v>11767.32</v>
      </c>
      <c r="F270" s="240">
        <f>F271</f>
        <v>9923.06</v>
      </c>
      <c r="G270" s="240">
        <f>G271</f>
        <v>10074.99</v>
      </c>
      <c r="H270" s="240">
        <v>11767.32</v>
      </c>
      <c r="I270" s="240">
        <v>9923.06</v>
      </c>
      <c r="J270" s="240">
        <v>10074.99</v>
      </c>
      <c r="K270" s="180" t="s">
        <v>213</v>
      </c>
      <c r="L270" s="239" t="s">
        <v>560</v>
      </c>
      <c r="M270" s="239" t="s">
        <v>90</v>
      </c>
      <c r="N270" s="240">
        <v>11767.32</v>
      </c>
      <c r="O270" s="240">
        <v>9923.06</v>
      </c>
      <c r="P270" s="240">
        <v>10074.99</v>
      </c>
      <c r="Q270" s="101" t="b">
        <f t="shared" si="62"/>
        <v>1</v>
      </c>
      <c r="R270" s="101" t="b">
        <f t="shared" si="63"/>
        <v>1</v>
      </c>
      <c r="S270" s="101" t="b">
        <f t="shared" si="64"/>
        <v>1</v>
      </c>
      <c r="T270" s="167">
        <f t="shared" si="65"/>
        <v>0</v>
      </c>
      <c r="U270" s="167">
        <f t="shared" si="66"/>
        <v>0</v>
      </c>
      <c r="V270" s="167">
        <f t="shared" si="67"/>
        <v>0</v>
      </c>
    </row>
    <row r="271" spans="1:22" s="90" customFormat="1" ht="20.100000000000001" customHeight="1">
      <c r="A271" s="347"/>
      <c r="B271" s="180" t="s">
        <v>145</v>
      </c>
      <c r="C271" s="239" t="s">
        <v>560</v>
      </c>
      <c r="D271" s="239" t="s">
        <v>153</v>
      </c>
      <c r="E271" s="240">
        <f>'Вед-я стр-ра'!H1166</f>
        <v>11767.32</v>
      </c>
      <c r="F271" s="240">
        <f>'Вед-я стр-ра'!I1166</f>
        <v>9923.06</v>
      </c>
      <c r="G271" s="240">
        <f>'Вед-я стр-ра'!J1166</f>
        <v>10074.99</v>
      </c>
      <c r="H271" s="240">
        <v>11767.32</v>
      </c>
      <c r="I271" s="240">
        <v>9923.06</v>
      </c>
      <c r="J271" s="240">
        <v>10074.99</v>
      </c>
      <c r="K271" s="180" t="s">
        <v>145</v>
      </c>
      <c r="L271" s="239" t="s">
        <v>560</v>
      </c>
      <c r="M271" s="239" t="s">
        <v>153</v>
      </c>
      <c r="N271" s="240">
        <v>11767.32</v>
      </c>
      <c r="O271" s="240">
        <v>9923.06</v>
      </c>
      <c r="P271" s="240">
        <v>10074.99</v>
      </c>
      <c r="Q271" s="101" t="b">
        <f t="shared" si="62"/>
        <v>1</v>
      </c>
      <c r="R271" s="101" t="b">
        <f t="shared" si="63"/>
        <v>1</v>
      </c>
      <c r="S271" s="101" t="b">
        <f t="shared" si="64"/>
        <v>1</v>
      </c>
      <c r="T271" s="167">
        <f t="shared" si="65"/>
        <v>0</v>
      </c>
      <c r="U271" s="167">
        <f t="shared" si="66"/>
        <v>0</v>
      </c>
      <c r="V271" s="167">
        <f t="shared" si="67"/>
        <v>0</v>
      </c>
    </row>
    <row r="272" spans="1:22" s="102" customFormat="1" ht="20.100000000000001" customHeight="1">
      <c r="A272" s="346"/>
      <c r="B272" s="235" t="s">
        <v>836</v>
      </c>
      <c r="C272" s="249" t="s">
        <v>404</v>
      </c>
      <c r="D272" s="247" t="s">
        <v>90</v>
      </c>
      <c r="E272" s="250">
        <f>E273+E276+E279+E282</f>
        <v>457867.15</v>
      </c>
      <c r="F272" s="250">
        <f>F273+F276+F279+F282</f>
        <v>402943.78</v>
      </c>
      <c r="G272" s="250">
        <f>G273+G276+G279+G282</f>
        <v>403667.24999999994</v>
      </c>
      <c r="H272" s="250">
        <v>457867.15</v>
      </c>
      <c r="I272" s="250">
        <v>402943.78</v>
      </c>
      <c r="J272" s="250">
        <v>403667.24999999994</v>
      </c>
      <c r="K272" s="235" t="s">
        <v>836</v>
      </c>
      <c r="L272" s="249" t="s">
        <v>404</v>
      </c>
      <c r="M272" s="247" t="s">
        <v>90</v>
      </c>
      <c r="N272" s="250">
        <v>445072.82</v>
      </c>
      <c r="O272" s="250">
        <v>402808.09</v>
      </c>
      <c r="P272" s="250">
        <v>403531.55999999994</v>
      </c>
      <c r="Q272" s="101" t="b">
        <f t="shared" si="62"/>
        <v>1</v>
      </c>
      <c r="R272" s="101" t="b">
        <f t="shared" si="63"/>
        <v>1</v>
      </c>
      <c r="S272" s="101" t="b">
        <f t="shared" si="64"/>
        <v>1</v>
      </c>
      <c r="T272" s="167">
        <f t="shared" si="65"/>
        <v>12794.330000000016</v>
      </c>
      <c r="U272" s="167">
        <f t="shared" si="66"/>
        <v>135.69000000000233</v>
      </c>
      <c r="V272" s="167">
        <f t="shared" si="67"/>
        <v>135.69000000000233</v>
      </c>
    </row>
    <row r="273" spans="1:22" s="102" customFormat="1" ht="20.100000000000001" customHeight="1">
      <c r="A273" s="346"/>
      <c r="B273" s="178" t="s">
        <v>558</v>
      </c>
      <c r="C273" s="239" t="s">
        <v>406</v>
      </c>
      <c r="D273" s="239" t="s">
        <v>90</v>
      </c>
      <c r="E273" s="240">
        <f>E274</f>
        <v>21135.38</v>
      </c>
      <c r="F273" s="240">
        <f t="shared" ref="F273:G273" si="72">F274</f>
        <v>21140.34</v>
      </c>
      <c r="G273" s="240">
        <f t="shared" si="72"/>
        <v>21145.48</v>
      </c>
      <c r="H273" s="240">
        <v>21135.38</v>
      </c>
      <c r="I273" s="240">
        <v>21140.34</v>
      </c>
      <c r="J273" s="240">
        <v>21145.48</v>
      </c>
      <c r="K273" s="178" t="s">
        <v>558</v>
      </c>
      <c r="L273" s="239" t="s">
        <v>406</v>
      </c>
      <c r="M273" s="239" t="s">
        <v>90</v>
      </c>
      <c r="N273" s="240">
        <v>21063.58</v>
      </c>
      <c r="O273" s="240">
        <v>21068.54</v>
      </c>
      <c r="P273" s="240">
        <v>21073.68</v>
      </c>
      <c r="Q273" s="101" t="b">
        <f t="shared" si="62"/>
        <v>1</v>
      </c>
      <c r="R273" s="101" t="b">
        <f t="shared" si="63"/>
        <v>1</v>
      </c>
      <c r="S273" s="101" t="b">
        <f t="shared" si="64"/>
        <v>1</v>
      </c>
      <c r="T273" s="167">
        <f t="shared" si="65"/>
        <v>71.799999999999272</v>
      </c>
      <c r="U273" s="167">
        <f t="shared" si="66"/>
        <v>71.799999999999272</v>
      </c>
      <c r="V273" s="167">
        <f t="shared" si="67"/>
        <v>71.799999999999272</v>
      </c>
    </row>
    <row r="274" spans="1:22" s="102" customFormat="1" ht="20.100000000000001" customHeight="1">
      <c r="A274" s="346"/>
      <c r="B274" s="178" t="s">
        <v>254</v>
      </c>
      <c r="C274" s="239" t="s">
        <v>450</v>
      </c>
      <c r="D274" s="239" t="s">
        <v>90</v>
      </c>
      <c r="E274" s="240">
        <f t="shared" ref="E274:G274" si="73">E275</f>
        <v>21135.38</v>
      </c>
      <c r="F274" s="240">
        <f t="shared" si="73"/>
        <v>21140.34</v>
      </c>
      <c r="G274" s="240">
        <f t="shared" si="73"/>
        <v>21145.48</v>
      </c>
      <c r="H274" s="240">
        <v>21135.38</v>
      </c>
      <c r="I274" s="240">
        <v>21140.34</v>
      </c>
      <c r="J274" s="240">
        <v>21145.48</v>
      </c>
      <c r="K274" s="178" t="s">
        <v>254</v>
      </c>
      <c r="L274" s="239" t="s">
        <v>450</v>
      </c>
      <c r="M274" s="239" t="s">
        <v>90</v>
      </c>
      <c r="N274" s="240">
        <v>21063.58</v>
      </c>
      <c r="O274" s="240">
        <v>21068.54</v>
      </c>
      <c r="P274" s="240">
        <v>21073.68</v>
      </c>
      <c r="Q274" s="101" t="b">
        <f t="shared" si="62"/>
        <v>1</v>
      </c>
      <c r="R274" s="101" t="b">
        <f t="shared" si="63"/>
        <v>1</v>
      </c>
      <c r="S274" s="101" t="b">
        <f t="shared" si="64"/>
        <v>1</v>
      </c>
      <c r="T274" s="167">
        <f t="shared" si="65"/>
        <v>71.799999999999272</v>
      </c>
      <c r="U274" s="167">
        <f t="shared" si="66"/>
        <v>71.799999999999272</v>
      </c>
      <c r="V274" s="167">
        <f t="shared" si="67"/>
        <v>71.799999999999272</v>
      </c>
    </row>
    <row r="275" spans="1:22" s="102" customFormat="1" ht="20.100000000000001" customHeight="1">
      <c r="A275" s="346"/>
      <c r="B275" s="178" t="s">
        <v>132</v>
      </c>
      <c r="C275" s="239" t="s">
        <v>450</v>
      </c>
      <c r="D275" s="239" t="s">
        <v>171</v>
      </c>
      <c r="E275" s="240">
        <f>'Вед-я стр-ра'!H1132</f>
        <v>21135.38</v>
      </c>
      <c r="F275" s="240">
        <f>'Вед-я стр-ра'!I1132</f>
        <v>21140.34</v>
      </c>
      <c r="G275" s="240">
        <f>'Вед-я стр-ра'!J1132</f>
        <v>21145.48</v>
      </c>
      <c r="H275" s="240">
        <v>21135.38</v>
      </c>
      <c r="I275" s="240">
        <v>21140.34</v>
      </c>
      <c r="J275" s="240">
        <v>21145.48</v>
      </c>
      <c r="K275" s="178" t="s">
        <v>132</v>
      </c>
      <c r="L275" s="239" t="s">
        <v>450</v>
      </c>
      <c r="M275" s="239" t="s">
        <v>171</v>
      </c>
      <c r="N275" s="240">
        <v>21063.58</v>
      </c>
      <c r="O275" s="240">
        <v>21068.54</v>
      </c>
      <c r="P275" s="240">
        <v>21073.68</v>
      </c>
      <c r="Q275" s="101" t="b">
        <f t="shared" si="62"/>
        <v>1</v>
      </c>
      <c r="R275" s="101" t="b">
        <f t="shared" si="63"/>
        <v>1</v>
      </c>
      <c r="S275" s="101" t="b">
        <f t="shared" si="64"/>
        <v>1</v>
      </c>
      <c r="T275" s="167">
        <f t="shared" si="65"/>
        <v>71.799999999999272</v>
      </c>
      <c r="U275" s="167">
        <f t="shared" si="66"/>
        <v>71.799999999999272</v>
      </c>
      <c r="V275" s="167">
        <f t="shared" si="67"/>
        <v>71.799999999999272</v>
      </c>
    </row>
    <row r="276" spans="1:22" s="102" customFormat="1" ht="20.100000000000001" customHeight="1">
      <c r="A276" s="346"/>
      <c r="B276" s="515" t="s">
        <v>1232</v>
      </c>
      <c r="C276" s="239" t="s">
        <v>562</v>
      </c>
      <c r="D276" s="239" t="s">
        <v>90</v>
      </c>
      <c r="E276" s="240">
        <f>E277</f>
        <v>23245.239999999998</v>
      </c>
      <c r="F276" s="240">
        <f>F277</f>
        <v>17692.039999999997</v>
      </c>
      <c r="G276" s="240">
        <f>G277</f>
        <v>17739.940000000002</v>
      </c>
      <c r="H276" s="240">
        <v>23245.239999999998</v>
      </c>
      <c r="I276" s="240">
        <v>17692.039999999997</v>
      </c>
      <c r="J276" s="240">
        <v>17739.940000000002</v>
      </c>
      <c r="K276" s="178" t="s">
        <v>642</v>
      </c>
      <c r="L276" s="239" t="s">
        <v>562</v>
      </c>
      <c r="M276" s="239" t="s">
        <v>90</v>
      </c>
      <c r="N276" s="240">
        <v>20885.239999999998</v>
      </c>
      <c r="O276" s="240">
        <v>17692.039999999997</v>
      </c>
      <c r="P276" s="240">
        <v>17739.940000000002</v>
      </c>
      <c r="Q276" s="101" t="b">
        <f t="shared" si="62"/>
        <v>0</v>
      </c>
      <c r="R276" s="101" t="b">
        <f t="shared" si="63"/>
        <v>1</v>
      </c>
      <c r="S276" s="101" t="b">
        <f t="shared" si="64"/>
        <v>1</v>
      </c>
      <c r="T276" s="167">
        <f t="shared" si="65"/>
        <v>2360</v>
      </c>
      <c r="U276" s="167">
        <f t="shared" si="66"/>
        <v>0</v>
      </c>
      <c r="V276" s="167">
        <f t="shared" si="67"/>
        <v>0</v>
      </c>
    </row>
    <row r="277" spans="1:22" s="102" customFormat="1" ht="20.100000000000001" customHeight="1">
      <c r="A277" s="346"/>
      <c r="B277" s="182" t="s">
        <v>786</v>
      </c>
      <c r="C277" s="239" t="s">
        <v>563</v>
      </c>
      <c r="D277" s="239" t="s">
        <v>90</v>
      </c>
      <c r="E277" s="240">
        <f>SUM(E278:E278)</f>
        <v>23245.239999999998</v>
      </c>
      <c r="F277" s="240">
        <f>SUM(F278:F278)</f>
        <v>17692.039999999997</v>
      </c>
      <c r="G277" s="240">
        <f>SUM(G278:G278)</f>
        <v>17739.940000000002</v>
      </c>
      <c r="H277" s="240">
        <v>23245.239999999998</v>
      </c>
      <c r="I277" s="240">
        <v>17692.039999999997</v>
      </c>
      <c r="J277" s="240">
        <v>17739.940000000002</v>
      </c>
      <c r="K277" s="182" t="s">
        <v>786</v>
      </c>
      <c r="L277" s="239" t="s">
        <v>563</v>
      </c>
      <c r="M277" s="239" t="s">
        <v>90</v>
      </c>
      <c r="N277" s="240">
        <v>20885.239999999998</v>
      </c>
      <c r="O277" s="240">
        <v>17692.039999999997</v>
      </c>
      <c r="P277" s="240">
        <v>17739.940000000002</v>
      </c>
      <c r="Q277" s="101" t="b">
        <f t="shared" si="62"/>
        <v>1</v>
      </c>
      <c r="R277" s="101" t="b">
        <f t="shared" si="63"/>
        <v>1</v>
      </c>
      <c r="S277" s="101" t="b">
        <f t="shared" si="64"/>
        <v>1</v>
      </c>
      <c r="T277" s="167">
        <f t="shared" si="65"/>
        <v>2360</v>
      </c>
      <c r="U277" s="167">
        <f t="shared" si="66"/>
        <v>0</v>
      </c>
      <c r="V277" s="167">
        <f t="shared" si="67"/>
        <v>0</v>
      </c>
    </row>
    <row r="278" spans="1:22" s="102" customFormat="1" ht="20.100000000000001" customHeight="1">
      <c r="A278" s="346"/>
      <c r="B278" s="178" t="s">
        <v>145</v>
      </c>
      <c r="C278" s="239" t="s">
        <v>563</v>
      </c>
      <c r="D278" s="239" t="s">
        <v>153</v>
      </c>
      <c r="E278" s="240">
        <f>'Вед-я стр-ра'!H1184</f>
        <v>23245.239999999998</v>
      </c>
      <c r="F278" s="240">
        <f>'Вед-я стр-ра'!I1184</f>
        <v>17692.039999999997</v>
      </c>
      <c r="G278" s="240">
        <f>'Вед-я стр-ра'!J1184</f>
        <v>17739.940000000002</v>
      </c>
      <c r="H278" s="240">
        <v>23245.239999999998</v>
      </c>
      <c r="I278" s="240">
        <v>17692.039999999997</v>
      </c>
      <c r="J278" s="240">
        <v>17739.940000000002</v>
      </c>
      <c r="K278" s="178" t="s">
        <v>145</v>
      </c>
      <c r="L278" s="239" t="s">
        <v>563</v>
      </c>
      <c r="M278" s="239" t="s">
        <v>153</v>
      </c>
      <c r="N278" s="240">
        <v>20885.239999999998</v>
      </c>
      <c r="O278" s="240">
        <v>17692.039999999997</v>
      </c>
      <c r="P278" s="240">
        <v>17739.940000000002</v>
      </c>
      <c r="Q278" s="101" t="b">
        <f t="shared" si="62"/>
        <v>1</v>
      </c>
      <c r="R278" s="101" t="b">
        <f t="shared" si="63"/>
        <v>1</v>
      </c>
      <c r="S278" s="101" t="b">
        <f t="shared" si="64"/>
        <v>1</v>
      </c>
      <c r="T278" s="167">
        <f t="shared" si="65"/>
        <v>2360</v>
      </c>
      <c r="U278" s="167">
        <f t="shared" si="66"/>
        <v>0</v>
      </c>
      <c r="V278" s="167">
        <f t="shared" si="67"/>
        <v>0</v>
      </c>
    </row>
    <row r="279" spans="1:22" s="102" customFormat="1" ht="20.100000000000001" customHeight="1">
      <c r="A279" s="346" t="s">
        <v>799</v>
      </c>
      <c r="B279" s="496" t="s">
        <v>1233</v>
      </c>
      <c r="C279" s="239" t="s">
        <v>564</v>
      </c>
      <c r="D279" s="239" t="s">
        <v>90</v>
      </c>
      <c r="E279" s="240">
        <f>E280</f>
        <v>1793.68</v>
      </c>
      <c r="F279" s="240">
        <f t="shared" ref="E279:G280" si="74">F280</f>
        <v>1793.68</v>
      </c>
      <c r="G279" s="240">
        <f t="shared" si="74"/>
        <v>1793.68</v>
      </c>
      <c r="H279" s="240">
        <v>1793.68</v>
      </c>
      <c r="I279" s="240">
        <v>1793.68</v>
      </c>
      <c r="J279" s="240">
        <v>1793.68</v>
      </c>
      <c r="K279" s="182" t="s">
        <v>1010</v>
      </c>
      <c r="L279" s="239" t="s">
        <v>564</v>
      </c>
      <c r="M279" s="239" t="s">
        <v>90</v>
      </c>
      <c r="N279" s="240">
        <v>1793.68</v>
      </c>
      <c r="O279" s="240">
        <v>1793.68</v>
      </c>
      <c r="P279" s="240">
        <v>1793.68</v>
      </c>
      <c r="Q279" s="101" t="b">
        <f t="shared" si="62"/>
        <v>0</v>
      </c>
      <c r="R279" s="101" t="b">
        <f t="shared" si="63"/>
        <v>1</v>
      </c>
      <c r="S279" s="101" t="b">
        <f t="shared" si="64"/>
        <v>1</v>
      </c>
      <c r="T279" s="167">
        <f t="shared" si="65"/>
        <v>0</v>
      </c>
      <c r="U279" s="167">
        <f t="shared" si="66"/>
        <v>0</v>
      </c>
      <c r="V279" s="167">
        <f t="shared" si="67"/>
        <v>0</v>
      </c>
    </row>
    <row r="280" spans="1:22" s="102" customFormat="1" ht="20.100000000000001" customHeight="1">
      <c r="A280" s="346"/>
      <c r="B280" s="182" t="s">
        <v>1011</v>
      </c>
      <c r="C280" s="239" t="s">
        <v>565</v>
      </c>
      <c r="D280" s="239" t="s">
        <v>90</v>
      </c>
      <c r="E280" s="240">
        <f t="shared" si="74"/>
        <v>1793.68</v>
      </c>
      <c r="F280" s="240">
        <f t="shared" si="74"/>
        <v>1793.68</v>
      </c>
      <c r="G280" s="240">
        <f t="shared" si="74"/>
        <v>1793.68</v>
      </c>
      <c r="H280" s="240">
        <v>1793.68</v>
      </c>
      <c r="I280" s="240">
        <v>1793.68</v>
      </c>
      <c r="J280" s="240">
        <v>1793.68</v>
      </c>
      <c r="K280" s="182" t="s">
        <v>1011</v>
      </c>
      <c r="L280" s="239" t="s">
        <v>565</v>
      </c>
      <c r="M280" s="239" t="s">
        <v>90</v>
      </c>
      <c r="N280" s="240">
        <v>1793.68</v>
      </c>
      <c r="O280" s="240">
        <v>1793.68</v>
      </c>
      <c r="P280" s="240">
        <v>1793.68</v>
      </c>
      <c r="Q280" s="101" t="b">
        <f t="shared" si="62"/>
        <v>1</v>
      </c>
      <c r="R280" s="101" t="b">
        <f t="shared" si="63"/>
        <v>1</v>
      </c>
      <c r="S280" s="101" t="b">
        <f t="shared" si="64"/>
        <v>1</v>
      </c>
      <c r="T280" s="167">
        <f t="shared" si="65"/>
        <v>0</v>
      </c>
      <c r="U280" s="167">
        <f t="shared" si="66"/>
        <v>0</v>
      </c>
      <c r="V280" s="167">
        <f t="shared" si="67"/>
        <v>0</v>
      </c>
    </row>
    <row r="281" spans="1:22" s="102" customFormat="1" ht="20.100000000000001" customHeight="1">
      <c r="A281" s="346"/>
      <c r="B281" s="178" t="s">
        <v>145</v>
      </c>
      <c r="C281" s="239" t="s">
        <v>565</v>
      </c>
      <c r="D281" s="239" t="s">
        <v>153</v>
      </c>
      <c r="E281" s="240">
        <f>'Вед-я стр-ра'!H1187</f>
        <v>1793.68</v>
      </c>
      <c r="F281" s="240">
        <f>'Вед-я стр-ра'!I1187</f>
        <v>1793.68</v>
      </c>
      <c r="G281" s="240">
        <f>'Вед-я стр-ра'!J1187</f>
        <v>1793.68</v>
      </c>
      <c r="H281" s="240">
        <v>1793.68</v>
      </c>
      <c r="I281" s="240">
        <v>1793.68</v>
      </c>
      <c r="J281" s="240">
        <v>1793.68</v>
      </c>
      <c r="K281" s="178" t="s">
        <v>145</v>
      </c>
      <c r="L281" s="239" t="s">
        <v>565</v>
      </c>
      <c r="M281" s="239" t="s">
        <v>153</v>
      </c>
      <c r="N281" s="240">
        <v>1793.68</v>
      </c>
      <c r="O281" s="240">
        <v>1793.68</v>
      </c>
      <c r="P281" s="240">
        <v>1793.68</v>
      </c>
      <c r="Q281" s="101" t="b">
        <f t="shared" si="62"/>
        <v>1</v>
      </c>
      <c r="R281" s="101" t="b">
        <f t="shared" si="63"/>
        <v>1</v>
      </c>
      <c r="S281" s="101" t="b">
        <f t="shared" si="64"/>
        <v>1</v>
      </c>
      <c r="T281" s="167">
        <f t="shared" si="65"/>
        <v>0</v>
      </c>
      <c r="U281" s="167">
        <f t="shared" si="66"/>
        <v>0</v>
      </c>
      <c r="V281" s="167">
        <f t="shared" si="67"/>
        <v>0</v>
      </c>
    </row>
    <row r="282" spans="1:22" s="90" customFormat="1" ht="20.100000000000001" customHeight="1">
      <c r="A282" s="347"/>
      <c r="B282" s="178" t="s">
        <v>405</v>
      </c>
      <c r="C282" s="239" t="s">
        <v>555</v>
      </c>
      <c r="D282" s="239" t="s">
        <v>90</v>
      </c>
      <c r="E282" s="240">
        <f>E283+E285+E287+E291+E293+E303+E305+E307+E295+E309+E297+E299+E301+E311+E313+E315</f>
        <v>411692.85000000003</v>
      </c>
      <c r="F282" s="240">
        <f>F283+F285+F287+F291+F293+F303+F305+F307+F295+F309+F297+F299+F301+F311+F313+F315</f>
        <v>362317.72000000003</v>
      </c>
      <c r="G282" s="240">
        <f>G283+G285+G287+G291+G293+G303+G305+G307+G295+G309+G297+G299+G301+G311+G313+G315</f>
        <v>362988.14999999997</v>
      </c>
      <c r="H282" s="240">
        <v>411692.85000000003</v>
      </c>
      <c r="I282" s="240">
        <v>362317.72000000003</v>
      </c>
      <c r="J282" s="240">
        <v>362988.14999999997</v>
      </c>
      <c r="K282" s="178" t="s">
        <v>405</v>
      </c>
      <c r="L282" s="239" t="s">
        <v>555</v>
      </c>
      <c r="M282" s="239" t="s">
        <v>90</v>
      </c>
      <c r="N282" s="240">
        <v>401330.32</v>
      </c>
      <c r="O282" s="240">
        <v>362253.83</v>
      </c>
      <c r="P282" s="240">
        <v>362924.25999999995</v>
      </c>
      <c r="Q282" s="101" t="b">
        <f t="shared" si="62"/>
        <v>1</v>
      </c>
      <c r="R282" s="101" t="b">
        <f t="shared" si="63"/>
        <v>1</v>
      </c>
      <c r="S282" s="101" t="b">
        <f t="shared" si="64"/>
        <v>1</v>
      </c>
      <c r="T282" s="167">
        <f t="shared" si="65"/>
        <v>10362.530000000028</v>
      </c>
      <c r="U282" s="167">
        <f t="shared" si="66"/>
        <v>63.89000000001397</v>
      </c>
      <c r="V282" s="167">
        <f t="shared" si="67"/>
        <v>63.89000000001397</v>
      </c>
    </row>
    <row r="283" spans="1:22" s="90" customFormat="1" ht="20.100000000000001" customHeight="1">
      <c r="A283" s="347"/>
      <c r="B283" s="178" t="s">
        <v>254</v>
      </c>
      <c r="C283" s="239" t="s">
        <v>566</v>
      </c>
      <c r="D283" s="239" t="s">
        <v>90</v>
      </c>
      <c r="E283" s="240">
        <f>E284</f>
        <v>11234.66</v>
      </c>
      <c r="F283" s="240">
        <f>F284</f>
        <v>11235.95</v>
      </c>
      <c r="G283" s="240">
        <f>G284</f>
        <v>11237.29</v>
      </c>
      <c r="H283" s="240">
        <v>11234.66</v>
      </c>
      <c r="I283" s="240">
        <v>11235.95</v>
      </c>
      <c r="J283" s="240">
        <v>11237.29</v>
      </c>
      <c r="K283" s="178" t="s">
        <v>254</v>
      </c>
      <c r="L283" s="239" t="s">
        <v>566</v>
      </c>
      <c r="M283" s="239" t="s">
        <v>90</v>
      </c>
      <c r="N283" s="240">
        <v>11170.77</v>
      </c>
      <c r="O283" s="240">
        <v>11172.06</v>
      </c>
      <c r="P283" s="240">
        <v>11173.4</v>
      </c>
      <c r="Q283" s="101" t="b">
        <f t="shared" si="62"/>
        <v>1</v>
      </c>
      <c r="R283" s="101" t="b">
        <f t="shared" si="63"/>
        <v>1</v>
      </c>
      <c r="S283" s="101" t="b">
        <f t="shared" si="64"/>
        <v>1</v>
      </c>
      <c r="T283" s="167">
        <f t="shared" si="65"/>
        <v>63.889999999999418</v>
      </c>
      <c r="U283" s="167">
        <f t="shared" si="66"/>
        <v>63.890000000001237</v>
      </c>
      <c r="V283" s="167">
        <f t="shared" si="67"/>
        <v>63.890000000001237</v>
      </c>
    </row>
    <row r="284" spans="1:22" s="90" customFormat="1" ht="20.100000000000001" customHeight="1">
      <c r="A284" s="347"/>
      <c r="B284" s="178" t="s">
        <v>132</v>
      </c>
      <c r="C284" s="239" t="s">
        <v>566</v>
      </c>
      <c r="D284" s="239" t="s">
        <v>171</v>
      </c>
      <c r="E284" s="240">
        <f>'Вед-я стр-ра'!H1190+'Вед-я стр-ра'!H1126</f>
        <v>11234.66</v>
      </c>
      <c r="F284" s="240">
        <f>'Вед-я стр-ра'!I1190+'Вед-я стр-ра'!I1126</f>
        <v>11235.95</v>
      </c>
      <c r="G284" s="240">
        <f>'Вед-я стр-ра'!J1190+'Вед-я стр-ра'!J1126</f>
        <v>11237.29</v>
      </c>
      <c r="H284" s="240">
        <v>11234.66</v>
      </c>
      <c r="I284" s="240">
        <v>11235.95</v>
      </c>
      <c r="J284" s="240">
        <v>11237.29</v>
      </c>
      <c r="K284" s="178" t="s">
        <v>132</v>
      </c>
      <c r="L284" s="239" t="s">
        <v>566</v>
      </c>
      <c r="M284" s="239" t="s">
        <v>171</v>
      </c>
      <c r="N284" s="240">
        <v>11170.77</v>
      </c>
      <c r="O284" s="240">
        <v>11172.06</v>
      </c>
      <c r="P284" s="240">
        <v>11173.4</v>
      </c>
      <c r="Q284" s="101" t="b">
        <f t="shared" si="62"/>
        <v>1</v>
      </c>
      <c r="R284" s="101" t="b">
        <f t="shared" si="63"/>
        <v>1</v>
      </c>
      <c r="S284" s="101" t="b">
        <f t="shared" si="64"/>
        <v>1</v>
      </c>
      <c r="T284" s="167">
        <f t="shared" si="65"/>
        <v>63.889999999999418</v>
      </c>
      <c r="U284" s="167">
        <f t="shared" si="66"/>
        <v>63.890000000001237</v>
      </c>
      <c r="V284" s="167">
        <f t="shared" si="67"/>
        <v>63.890000000001237</v>
      </c>
    </row>
    <row r="285" spans="1:22" s="90" customFormat="1" ht="20.100000000000001" customHeight="1">
      <c r="A285" s="347"/>
      <c r="B285" s="182" t="s">
        <v>761</v>
      </c>
      <c r="C285" s="239" t="s">
        <v>567</v>
      </c>
      <c r="D285" s="239" t="s">
        <v>90</v>
      </c>
      <c r="E285" s="240">
        <f>E286</f>
        <v>150611.76</v>
      </c>
      <c r="F285" s="240">
        <f>F286</f>
        <v>156413.77000000002</v>
      </c>
      <c r="G285" s="240">
        <f>G286</f>
        <v>156972.40000000002</v>
      </c>
      <c r="H285" s="240">
        <v>150611.76</v>
      </c>
      <c r="I285" s="240">
        <v>156413.77000000002</v>
      </c>
      <c r="J285" s="240">
        <v>156972.40000000002</v>
      </c>
      <c r="K285" s="182" t="s">
        <v>761</v>
      </c>
      <c r="L285" s="239" t="s">
        <v>567</v>
      </c>
      <c r="M285" s="239" t="s">
        <v>90</v>
      </c>
      <c r="N285" s="240">
        <v>150611.76</v>
      </c>
      <c r="O285" s="240">
        <v>156413.77000000002</v>
      </c>
      <c r="P285" s="240">
        <v>156972.40000000002</v>
      </c>
      <c r="Q285" s="101" t="b">
        <f t="shared" si="62"/>
        <v>1</v>
      </c>
      <c r="R285" s="101" t="b">
        <f t="shared" si="63"/>
        <v>1</v>
      </c>
      <c r="S285" s="101" t="b">
        <f t="shared" si="64"/>
        <v>1</v>
      </c>
      <c r="T285" s="167">
        <f t="shared" si="65"/>
        <v>0</v>
      </c>
      <c r="U285" s="167">
        <f t="shared" si="66"/>
        <v>0</v>
      </c>
      <c r="V285" s="167">
        <f t="shared" si="67"/>
        <v>0</v>
      </c>
    </row>
    <row r="286" spans="1:22" s="90" customFormat="1" ht="20.100000000000001" customHeight="1">
      <c r="A286" s="347"/>
      <c r="B286" s="178" t="s">
        <v>145</v>
      </c>
      <c r="C286" s="239" t="s">
        <v>567</v>
      </c>
      <c r="D286" s="239" t="s">
        <v>153</v>
      </c>
      <c r="E286" s="240">
        <f>'Вед-я стр-ра'!H1192</f>
        <v>150611.76</v>
      </c>
      <c r="F286" s="240">
        <f>'Вед-я стр-ра'!I1192</f>
        <v>156413.77000000002</v>
      </c>
      <c r="G286" s="240">
        <f>'Вед-я стр-ра'!J1192</f>
        <v>156972.40000000002</v>
      </c>
      <c r="H286" s="240">
        <v>150611.76</v>
      </c>
      <c r="I286" s="240">
        <v>156413.77000000002</v>
      </c>
      <c r="J286" s="240">
        <v>156972.40000000002</v>
      </c>
      <c r="K286" s="178" t="s">
        <v>145</v>
      </c>
      <c r="L286" s="239" t="s">
        <v>567</v>
      </c>
      <c r="M286" s="239" t="s">
        <v>153</v>
      </c>
      <c r="N286" s="240">
        <v>150611.76</v>
      </c>
      <c r="O286" s="240">
        <v>156413.77000000002</v>
      </c>
      <c r="P286" s="240">
        <v>156972.40000000002</v>
      </c>
      <c r="Q286" s="101" t="b">
        <f t="shared" si="62"/>
        <v>1</v>
      </c>
      <c r="R286" s="101" t="b">
        <f t="shared" si="63"/>
        <v>1</v>
      </c>
      <c r="S286" s="101" t="b">
        <f t="shared" si="64"/>
        <v>1</v>
      </c>
      <c r="T286" s="167">
        <f t="shared" si="65"/>
        <v>0</v>
      </c>
      <c r="U286" s="167">
        <f t="shared" si="66"/>
        <v>0</v>
      </c>
      <c r="V286" s="167">
        <f t="shared" si="67"/>
        <v>0</v>
      </c>
    </row>
    <row r="287" spans="1:22" s="90" customFormat="1" ht="20.100000000000001" customHeight="1">
      <c r="A287" s="347"/>
      <c r="B287" s="178" t="s">
        <v>187</v>
      </c>
      <c r="C287" s="239" t="s">
        <v>556</v>
      </c>
      <c r="D287" s="239" t="s">
        <v>90</v>
      </c>
      <c r="E287" s="240">
        <f>E288+E290</f>
        <v>120970.66</v>
      </c>
      <c r="F287" s="240">
        <f>F288+F290</f>
        <v>117186.23999999999</v>
      </c>
      <c r="G287" s="240">
        <f>G288+G290</f>
        <v>117296.69999999998</v>
      </c>
      <c r="H287" s="240">
        <v>120970.66</v>
      </c>
      <c r="I287" s="240">
        <v>117186.23999999999</v>
      </c>
      <c r="J287" s="240">
        <v>117296.69999999998</v>
      </c>
      <c r="K287" s="178" t="s">
        <v>187</v>
      </c>
      <c r="L287" s="239" t="s">
        <v>556</v>
      </c>
      <c r="M287" s="239" t="s">
        <v>90</v>
      </c>
      <c r="N287" s="240">
        <v>110672.02</v>
      </c>
      <c r="O287" s="240">
        <v>117186.23999999999</v>
      </c>
      <c r="P287" s="240">
        <v>117296.69999999998</v>
      </c>
      <c r="Q287" s="101" t="b">
        <f t="shared" si="62"/>
        <v>1</v>
      </c>
      <c r="R287" s="101" t="b">
        <f t="shared" si="63"/>
        <v>1</v>
      </c>
      <c r="S287" s="101" t="b">
        <f t="shared" si="64"/>
        <v>1</v>
      </c>
      <c r="T287" s="167">
        <f t="shared" si="65"/>
        <v>10298.64</v>
      </c>
      <c r="U287" s="167">
        <f t="shared" si="66"/>
        <v>0</v>
      </c>
      <c r="V287" s="167">
        <f t="shared" si="67"/>
        <v>0</v>
      </c>
    </row>
    <row r="288" spans="1:22" s="90" customFormat="1" ht="20.100000000000001" customHeight="1">
      <c r="A288" s="347"/>
      <c r="B288" s="178" t="s">
        <v>145</v>
      </c>
      <c r="C288" s="239" t="s">
        <v>556</v>
      </c>
      <c r="D288" s="239" t="s">
        <v>153</v>
      </c>
      <c r="E288" s="240">
        <f>'Вед-я стр-ра'!H947+'Вед-я стр-ра'!H1017+'Вед-я стр-ра'!H1081+'Вед-я стр-ра'!H1194</f>
        <v>120783.16</v>
      </c>
      <c r="F288" s="240">
        <f>'Вед-я стр-ра'!I947+'Вед-я стр-ра'!I1017+'Вед-я стр-ра'!I1081+'Вед-я стр-ра'!I1194</f>
        <v>116998.73999999999</v>
      </c>
      <c r="G288" s="240">
        <f>'Вед-я стр-ра'!J947+'Вед-я стр-ра'!J1017+'Вед-я стр-ра'!J1081+'Вед-я стр-ра'!J1194</f>
        <v>117109.19999999998</v>
      </c>
      <c r="H288" s="240">
        <v>120783.16</v>
      </c>
      <c r="I288" s="240">
        <v>116998.73999999999</v>
      </c>
      <c r="J288" s="240">
        <v>117109.19999999998</v>
      </c>
      <c r="K288" s="178" t="s">
        <v>145</v>
      </c>
      <c r="L288" s="239" t="s">
        <v>556</v>
      </c>
      <c r="M288" s="239" t="s">
        <v>153</v>
      </c>
      <c r="N288" s="240">
        <v>110484.52</v>
      </c>
      <c r="O288" s="240">
        <v>116998.73999999999</v>
      </c>
      <c r="P288" s="240">
        <v>117109.19999999998</v>
      </c>
      <c r="Q288" s="101" t="b">
        <f t="shared" si="62"/>
        <v>1</v>
      </c>
      <c r="R288" s="101" t="b">
        <f t="shared" si="63"/>
        <v>1</v>
      </c>
      <c r="S288" s="101" t="b">
        <f t="shared" si="64"/>
        <v>1</v>
      </c>
      <c r="T288" s="167">
        <f t="shared" si="65"/>
        <v>10298.64</v>
      </c>
      <c r="U288" s="167">
        <f t="shared" si="66"/>
        <v>0</v>
      </c>
      <c r="V288" s="167">
        <f t="shared" si="67"/>
        <v>0</v>
      </c>
    </row>
    <row r="289" spans="1:22" s="90" customFormat="1" ht="20.100000000000001" customHeight="1">
      <c r="A289" s="347"/>
      <c r="B289" s="114" t="s">
        <v>216</v>
      </c>
      <c r="C289" s="443" t="s">
        <v>556</v>
      </c>
      <c r="D289" s="443" t="s">
        <v>141</v>
      </c>
      <c r="E289" s="113"/>
      <c r="F289" s="113"/>
      <c r="G289" s="113"/>
      <c r="H289" s="113"/>
      <c r="I289" s="113"/>
      <c r="J289" s="113"/>
      <c r="K289" s="114" t="s">
        <v>216</v>
      </c>
      <c r="L289" s="443" t="s">
        <v>556</v>
      </c>
      <c r="M289" s="443" t="s">
        <v>141</v>
      </c>
      <c r="N289" s="113"/>
      <c r="O289" s="113"/>
      <c r="P289" s="113"/>
      <c r="Q289" s="101" t="b">
        <f t="shared" si="62"/>
        <v>1</v>
      </c>
      <c r="R289" s="101" t="b">
        <f t="shared" si="63"/>
        <v>1</v>
      </c>
      <c r="S289" s="101" t="b">
        <f t="shared" si="64"/>
        <v>1</v>
      </c>
      <c r="T289" s="167">
        <f t="shared" si="65"/>
        <v>0</v>
      </c>
      <c r="U289" s="167">
        <f t="shared" si="66"/>
        <v>0</v>
      </c>
      <c r="V289" s="167">
        <f t="shared" si="67"/>
        <v>0</v>
      </c>
    </row>
    <row r="290" spans="1:22" s="90" customFormat="1" ht="20.100000000000001" customHeight="1">
      <c r="A290" s="347"/>
      <c r="B290" s="178" t="s">
        <v>132</v>
      </c>
      <c r="C290" s="37" t="s">
        <v>556</v>
      </c>
      <c r="D290" s="36" t="s">
        <v>171</v>
      </c>
      <c r="E290" s="240">
        <f>'Вед-я стр-ра'!H547</f>
        <v>187.5</v>
      </c>
      <c r="F290" s="240">
        <f>'Вед-я стр-ра'!I547</f>
        <v>187.5</v>
      </c>
      <c r="G290" s="240">
        <f>'Вед-я стр-ра'!J547</f>
        <v>187.5</v>
      </c>
      <c r="H290" s="240">
        <v>187.5</v>
      </c>
      <c r="I290" s="240">
        <v>187.5</v>
      </c>
      <c r="J290" s="240">
        <v>187.5</v>
      </c>
      <c r="K290" s="178" t="s">
        <v>132</v>
      </c>
      <c r="L290" s="37" t="s">
        <v>556</v>
      </c>
      <c r="M290" s="36" t="s">
        <v>171</v>
      </c>
      <c r="N290" s="240">
        <v>187.5</v>
      </c>
      <c r="O290" s="240">
        <v>187.5</v>
      </c>
      <c r="P290" s="240">
        <v>187.5</v>
      </c>
      <c r="Q290" s="101" t="b">
        <f t="shared" si="62"/>
        <v>1</v>
      </c>
      <c r="R290" s="101" t="b">
        <f t="shared" si="63"/>
        <v>1</v>
      </c>
      <c r="S290" s="101" t="b">
        <f t="shared" si="64"/>
        <v>1</v>
      </c>
      <c r="T290" s="167">
        <f t="shared" si="65"/>
        <v>0</v>
      </c>
      <c r="U290" s="167">
        <f t="shared" si="66"/>
        <v>0</v>
      </c>
      <c r="V290" s="167">
        <f t="shared" si="67"/>
        <v>0</v>
      </c>
    </row>
    <row r="291" spans="1:22" s="90" customFormat="1" ht="20.100000000000001" customHeight="1">
      <c r="A291" s="347"/>
      <c r="B291" s="178" t="s">
        <v>188</v>
      </c>
      <c r="C291" s="239" t="s">
        <v>557</v>
      </c>
      <c r="D291" s="239" t="s">
        <v>90</v>
      </c>
      <c r="E291" s="240">
        <f>E292</f>
        <v>46903.59</v>
      </c>
      <c r="F291" s="240">
        <f>F292</f>
        <v>42403.59</v>
      </c>
      <c r="G291" s="240">
        <f>G292</f>
        <v>42403.59</v>
      </c>
      <c r="H291" s="240">
        <v>46903.59</v>
      </c>
      <c r="I291" s="240">
        <v>42403.59</v>
      </c>
      <c r="J291" s="240">
        <v>42403.59</v>
      </c>
      <c r="K291" s="178" t="s">
        <v>188</v>
      </c>
      <c r="L291" s="239" t="s">
        <v>557</v>
      </c>
      <c r="M291" s="239" t="s">
        <v>90</v>
      </c>
      <c r="N291" s="240">
        <v>46903.59</v>
      </c>
      <c r="O291" s="240">
        <v>42403.59</v>
      </c>
      <c r="P291" s="240">
        <v>42403.59</v>
      </c>
      <c r="Q291" s="101" t="b">
        <f t="shared" si="62"/>
        <v>1</v>
      </c>
      <c r="R291" s="101" t="b">
        <f t="shared" si="63"/>
        <v>1</v>
      </c>
      <c r="S291" s="101" t="b">
        <f t="shared" si="64"/>
        <v>1</v>
      </c>
      <c r="T291" s="167">
        <f t="shared" si="65"/>
        <v>0</v>
      </c>
      <c r="U291" s="167">
        <f t="shared" si="66"/>
        <v>0</v>
      </c>
      <c r="V291" s="167">
        <f t="shared" si="67"/>
        <v>0</v>
      </c>
    </row>
    <row r="292" spans="1:22" s="90" customFormat="1" ht="20.100000000000001" customHeight="1">
      <c r="A292" s="347"/>
      <c r="B292" s="178" t="s">
        <v>145</v>
      </c>
      <c r="C292" s="239" t="s">
        <v>557</v>
      </c>
      <c r="D292" s="239" t="s">
        <v>153</v>
      </c>
      <c r="E292" s="240">
        <f>'Вед-я стр-ра'!H1196</f>
        <v>46903.59</v>
      </c>
      <c r="F292" s="240">
        <f>'Вед-я стр-ра'!I1196</f>
        <v>42403.59</v>
      </c>
      <c r="G292" s="240">
        <f>'Вед-я стр-ра'!J1196</f>
        <v>42403.59</v>
      </c>
      <c r="H292" s="240">
        <v>46903.59</v>
      </c>
      <c r="I292" s="240">
        <v>42403.59</v>
      </c>
      <c r="J292" s="240">
        <v>42403.59</v>
      </c>
      <c r="K292" s="178" t="s">
        <v>145</v>
      </c>
      <c r="L292" s="239" t="s">
        <v>557</v>
      </c>
      <c r="M292" s="239" t="s">
        <v>153</v>
      </c>
      <c r="N292" s="240">
        <v>46903.59</v>
      </c>
      <c r="O292" s="240">
        <v>42403.59</v>
      </c>
      <c r="P292" s="240">
        <v>42403.59</v>
      </c>
      <c r="Q292" s="101" t="b">
        <f t="shared" si="62"/>
        <v>1</v>
      </c>
      <c r="R292" s="101" t="b">
        <f t="shared" si="63"/>
        <v>1</v>
      </c>
      <c r="S292" s="101" t="b">
        <f t="shared" si="64"/>
        <v>1</v>
      </c>
      <c r="T292" s="167">
        <f t="shared" si="65"/>
        <v>0</v>
      </c>
      <c r="U292" s="167">
        <f t="shared" si="66"/>
        <v>0</v>
      </c>
      <c r="V292" s="167">
        <f t="shared" si="67"/>
        <v>0</v>
      </c>
    </row>
    <row r="293" spans="1:22" s="90" customFormat="1" ht="20.100000000000001" customHeight="1">
      <c r="A293" s="347"/>
      <c r="B293" s="178" t="s">
        <v>756</v>
      </c>
      <c r="C293" s="239" t="s">
        <v>772</v>
      </c>
      <c r="D293" s="239" t="s">
        <v>90</v>
      </c>
      <c r="E293" s="240">
        <f>E294</f>
        <v>2825.16</v>
      </c>
      <c r="F293" s="240">
        <f>F294</f>
        <v>2825.16</v>
      </c>
      <c r="G293" s="240">
        <f>G294</f>
        <v>2825.16</v>
      </c>
      <c r="H293" s="240">
        <v>2825.16</v>
      </c>
      <c r="I293" s="240">
        <v>2825.16</v>
      </c>
      <c r="J293" s="240">
        <v>2825.16</v>
      </c>
      <c r="K293" s="178" t="s">
        <v>756</v>
      </c>
      <c r="L293" s="239" t="s">
        <v>772</v>
      </c>
      <c r="M293" s="239" t="s">
        <v>90</v>
      </c>
      <c r="N293" s="240">
        <v>2825.16</v>
      </c>
      <c r="O293" s="240">
        <v>2825.16</v>
      </c>
      <c r="P293" s="240">
        <v>2825.16</v>
      </c>
      <c r="Q293" s="101" t="b">
        <f t="shared" si="62"/>
        <v>1</v>
      </c>
      <c r="R293" s="101" t="b">
        <f t="shared" si="63"/>
        <v>1</v>
      </c>
      <c r="S293" s="101" t="b">
        <f t="shared" si="64"/>
        <v>1</v>
      </c>
      <c r="T293" s="167">
        <f t="shared" si="65"/>
        <v>0</v>
      </c>
      <c r="U293" s="167">
        <f t="shared" si="66"/>
        <v>0</v>
      </c>
      <c r="V293" s="167">
        <f t="shared" si="67"/>
        <v>0</v>
      </c>
    </row>
    <row r="294" spans="1:22" s="90" customFormat="1" ht="20.100000000000001" customHeight="1">
      <c r="A294" s="347"/>
      <c r="B294" s="178" t="s">
        <v>145</v>
      </c>
      <c r="C294" s="239" t="s">
        <v>772</v>
      </c>
      <c r="D294" s="239" t="s">
        <v>153</v>
      </c>
      <c r="E294" s="240">
        <f>'Вед-я стр-ра'!H949+'Вед-я стр-ра'!H1019+'Вед-я стр-ра'!H1083</f>
        <v>2825.16</v>
      </c>
      <c r="F294" s="240">
        <f>'Вед-я стр-ра'!I949+'Вед-я стр-ра'!I1019+'Вед-я стр-ра'!I1083</f>
        <v>2825.16</v>
      </c>
      <c r="G294" s="240">
        <f>'Вед-я стр-ра'!J949+'Вед-я стр-ра'!J1019+'Вед-я стр-ра'!J1083</f>
        <v>2825.16</v>
      </c>
      <c r="H294" s="240">
        <v>2825.16</v>
      </c>
      <c r="I294" s="240">
        <v>2825.16</v>
      </c>
      <c r="J294" s="240">
        <v>2825.16</v>
      </c>
      <c r="K294" s="178" t="s">
        <v>145</v>
      </c>
      <c r="L294" s="239" t="s">
        <v>772</v>
      </c>
      <c r="M294" s="239" t="s">
        <v>153</v>
      </c>
      <c r="N294" s="240">
        <v>2825.16</v>
      </c>
      <c r="O294" s="240">
        <v>2825.16</v>
      </c>
      <c r="P294" s="240">
        <v>2825.16</v>
      </c>
      <c r="Q294" s="101" t="b">
        <f t="shared" si="62"/>
        <v>1</v>
      </c>
      <c r="R294" s="101" t="b">
        <f t="shared" si="63"/>
        <v>1</v>
      </c>
      <c r="S294" s="101" t="b">
        <f t="shared" si="64"/>
        <v>1</v>
      </c>
      <c r="T294" s="167">
        <f t="shared" si="65"/>
        <v>0</v>
      </c>
      <c r="U294" s="167">
        <f t="shared" si="66"/>
        <v>0</v>
      </c>
      <c r="V294" s="167">
        <f t="shared" si="67"/>
        <v>0</v>
      </c>
    </row>
    <row r="295" spans="1:22" s="90" customFormat="1" ht="20.100000000000001" customHeight="1">
      <c r="A295" s="347"/>
      <c r="B295" s="182" t="s">
        <v>1163</v>
      </c>
      <c r="C295" s="37" t="s">
        <v>1249</v>
      </c>
      <c r="D295" s="57" t="s">
        <v>90</v>
      </c>
      <c r="E295" s="183">
        <f>E296</f>
        <v>1500</v>
      </c>
      <c r="F295" s="183">
        <f>F296</f>
        <v>0</v>
      </c>
      <c r="G295" s="183">
        <f>G296</f>
        <v>0</v>
      </c>
      <c r="H295" s="183">
        <v>1500</v>
      </c>
      <c r="I295" s="183">
        <v>0</v>
      </c>
      <c r="J295" s="183">
        <v>0</v>
      </c>
      <c r="K295" s="495" t="s">
        <v>1163</v>
      </c>
      <c r="L295" s="37" t="s">
        <v>1044</v>
      </c>
      <c r="M295" s="57" t="s">
        <v>90</v>
      </c>
      <c r="N295" s="183">
        <v>1500</v>
      </c>
      <c r="O295" s="183">
        <v>0</v>
      </c>
      <c r="P295" s="183">
        <v>0</v>
      </c>
      <c r="Q295" s="101" t="b">
        <f t="shared" si="62"/>
        <v>1</v>
      </c>
      <c r="R295" s="101" t="b">
        <f t="shared" si="63"/>
        <v>0</v>
      </c>
      <c r="S295" s="101" t="b">
        <f t="shared" si="64"/>
        <v>1</v>
      </c>
      <c r="T295" s="167">
        <f t="shared" si="65"/>
        <v>0</v>
      </c>
      <c r="U295" s="167">
        <f t="shared" si="66"/>
        <v>0</v>
      </c>
      <c r="V295" s="167">
        <f t="shared" si="67"/>
        <v>0</v>
      </c>
    </row>
    <row r="296" spans="1:22" s="90" customFormat="1" ht="20.100000000000001" customHeight="1">
      <c r="A296" s="347"/>
      <c r="B296" s="182" t="s">
        <v>145</v>
      </c>
      <c r="C296" s="37" t="s">
        <v>1249</v>
      </c>
      <c r="D296" s="37" t="s">
        <v>153</v>
      </c>
      <c r="E296" s="183">
        <f>'Вед-я стр-ра'!H1085</f>
        <v>1500</v>
      </c>
      <c r="F296" s="183">
        <f>'Вед-я стр-ра'!I1085</f>
        <v>0</v>
      </c>
      <c r="G296" s="183">
        <f>'Вед-я стр-ра'!J1085</f>
        <v>0</v>
      </c>
      <c r="H296" s="183">
        <v>1500</v>
      </c>
      <c r="I296" s="183">
        <v>0</v>
      </c>
      <c r="J296" s="183">
        <v>0</v>
      </c>
      <c r="K296" s="182" t="s">
        <v>145</v>
      </c>
      <c r="L296" s="37" t="s">
        <v>1044</v>
      </c>
      <c r="M296" s="37" t="s">
        <v>153</v>
      </c>
      <c r="N296" s="183">
        <v>1500</v>
      </c>
      <c r="O296" s="183">
        <v>0</v>
      </c>
      <c r="P296" s="183">
        <v>0</v>
      </c>
      <c r="Q296" s="101" t="b">
        <f t="shared" ref="Q296:Q330" si="75">B296=K296</f>
        <v>1</v>
      </c>
      <c r="R296" s="101" t="b">
        <f t="shared" ref="R296:R330" si="76">C296=L296</f>
        <v>0</v>
      </c>
      <c r="S296" s="101" t="b">
        <f t="shared" ref="S296:S330" si="77">D296=M296</f>
        <v>1</v>
      </c>
      <c r="T296" s="167">
        <f t="shared" ref="T296:T330" si="78">E296-N296</f>
        <v>0</v>
      </c>
      <c r="U296" s="167">
        <f t="shared" ref="U296:U330" si="79">F296-O296</f>
        <v>0</v>
      </c>
      <c r="V296" s="167">
        <f t="shared" ref="V296:V330" si="80">G296-P296</f>
        <v>0</v>
      </c>
    </row>
    <row r="297" spans="1:22" s="90" customFormat="1" ht="20.100000000000001" customHeight="1">
      <c r="A297" s="347"/>
      <c r="B297" s="182" t="s">
        <v>1161</v>
      </c>
      <c r="C297" s="37" t="s">
        <v>1158</v>
      </c>
      <c r="D297" s="37" t="s">
        <v>90</v>
      </c>
      <c r="E297" s="183">
        <f>E298</f>
        <v>1500</v>
      </c>
      <c r="F297" s="183">
        <v>0</v>
      </c>
      <c r="G297" s="183">
        <v>0</v>
      </c>
      <c r="H297" s="183">
        <v>1500</v>
      </c>
      <c r="I297" s="183">
        <v>0</v>
      </c>
      <c r="J297" s="183">
        <v>0</v>
      </c>
      <c r="K297" s="182" t="s">
        <v>1161</v>
      </c>
      <c r="L297" s="37" t="s">
        <v>1158</v>
      </c>
      <c r="M297" s="37" t="s">
        <v>90</v>
      </c>
      <c r="N297" s="183">
        <v>1500</v>
      </c>
      <c r="O297" s="183">
        <v>0</v>
      </c>
      <c r="P297" s="183">
        <v>0</v>
      </c>
      <c r="Q297" s="101" t="b">
        <f t="shared" si="75"/>
        <v>1</v>
      </c>
      <c r="R297" s="101" t="b">
        <f t="shared" si="76"/>
        <v>1</v>
      </c>
      <c r="S297" s="101" t="b">
        <f t="shared" si="77"/>
        <v>1</v>
      </c>
      <c r="T297" s="167">
        <f t="shared" si="78"/>
        <v>0</v>
      </c>
      <c r="U297" s="167">
        <f t="shared" si="79"/>
        <v>0</v>
      </c>
      <c r="V297" s="167">
        <f t="shared" si="80"/>
        <v>0</v>
      </c>
    </row>
    <row r="298" spans="1:22" s="90" customFormat="1" ht="20.100000000000001" customHeight="1">
      <c r="A298" s="347"/>
      <c r="B298" s="182" t="s">
        <v>145</v>
      </c>
      <c r="C298" s="37" t="s">
        <v>1158</v>
      </c>
      <c r="D298" s="37" t="s">
        <v>153</v>
      </c>
      <c r="E298" s="183">
        <f>'Вед-я стр-ра'!H955</f>
        <v>1500</v>
      </c>
      <c r="F298" s="183"/>
      <c r="G298" s="183"/>
      <c r="H298" s="183">
        <v>1500</v>
      </c>
      <c r="I298" s="183"/>
      <c r="J298" s="183"/>
      <c r="K298" s="182" t="s">
        <v>145</v>
      </c>
      <c r="L298" s="37" t="s">
        <v>1158</v>
      </c>
      <c r="M298" s="37" t="s">
        <v>153</v>
      </c>
      <c r="N298" s="183">
        <v>1500</v>
      </c>
      <c r="O298" s="183"/>
      <c r="P298" s="183"/>
      <c r="Q298" s="101" t="b">
        <f t="shared" si="75"/>
        <v>1</v>
      </c>
      <c r="R298" s="101" t="b">
        <f t="shared" si="76"/>
        <v>1</v>
      </c>
      <c r="S298" s="101" t="b">
        <f t="shared" si="77"/>
        <v>1</v>
      </c>
      <c r="T298" s="167">
        <f t="shared" si="78"/>
        <v>0</v>
      </c>
      <c r="U298" s="167">
        <f t="shared" si="79"/>
        <v>0</v>
      </c>
      <c r="V298" s="167">
        <f t="shared" si="80"/>
        <v>0</v>
      </c>
    </row>
    <row r="299" spans="1:22" s="90" customFormat="1" ht="20.100000000000001" customHeight="1">
      <c r="A299" s="347"/>
      <c r="B299" s="182" t="s">
        <v>1148</v>
      </c>
      <c r="C299" s="37" t="s">
        <v>1159</v>
      </c>
      <c r="D299" s="37" t="s">
        <v>90</v>
      </c>
      <c r="E299" s="183">
        <f>E300</f>
        <v>1500</v>
      </c>
      <c r="F299" s="183"/>
      <c r="G299" s="183"/>
      <c r="H299" s="183">
        <v>1500</v>
      </c>
      <c r="I299" s="183"/>
      <c r="J299" s="183"/>
      <c r="K299" s="182" t="s">
        <v>1148</v>
      </c>
      <c r="L299" s="37" t="s">
        <v>1159</v>
      </c>
      <c r="M299" s="37" t="s">
        <v>90</v>
      </c>
      <c r="N299" s="183">
        <v>1500</v>
      </c>
      <c r="O299" s="183"/>
      <c r="P299" s="183"/>
      <c r="Q299" s="101" t="b">
        <f t="shared" si="75"/>
        <v>1</v>
      </c>
      <c r="R299" s="101" t="b">
        <f t="shared" si="76"/>
        <v>1</v>
      </c>
      <c r="S299" s="101" t="b">
        <f t="shared" si="77"/>
        <v>1</v>
      </c>
      <c r="T299" s="167">
        <f t="shared" si="78"/>
        <v>0</v>
      </c>
      <c r="U299" s="167">
        <f t="shared" si="79"/>
        <v>0</v>
      </c>
      <c r="V299" s="167">
        <f t="shared" si="80"/>
        <v>0</v>
      </c>
    </row>
    <row r="300" spans="1:22" s="90" customFormat="1" ht="20.100000000000001" customHeight="1">
      <c r="A300" s="347"/>
      <c r="B300" s="182" t="s">
        <v>145</v>
      </c>
      <c r="C300" s="37" t="s">
        <v>1159</v>
      </c>
      <c r="D300" s="37" t="s">
        <v>153</v>
      </c>
      <c r="E300" s="183">
        <f>'Вед-я стр-ра'!H1085</f>
        <v>1500</v>
      </c>
      <c r="F300" s="183"/>
      <c r="G300" s="183"/>
      <c r="H300" s="183">
        <v>1500</v>
      </c>
      <c r="I300" s="183"/>
      <c r="J300" s="183"/>
      <c r="K300" s="182" t="s">
        <v>145</v>
      </c>
      <c r="L300" s="37" t="s">
        <v>1159</v>
      </c>
      <c r="M300" s="37" t="s">
        <v>153</v>
      </c>
      <c r="N300" s="183">
        <v>1500</v>
      </c>
      <c r="O300" s="183"/>
      <c r="P300" s="183"/>
      <c r="Q300" s="101" t="b">
        <f t="shared" si="75"/>
        <v>1</v>
      </c>
      <c r="R300" s="101" t="b">
        <f t="shared" si="76"/>
        <v>1</v>
      </c>
      <c r="S300" s="101" t="b">
        <f t="shared" si="77"/>
        <v>1</v>
      </c>
      <c r="T300" s="167">
        <f t="shared" si="78"/>
        <v>0</v>
      </c>
      <c r="U300" s="167">
        <f t="shared" si="79"/>
        <v>0</v>
      </c>
      <c r="V300" s="167">
        <f t="shared" si="80"/>
        <v>0</v>
      </c>
    </row>
    <row r="301" spans="1:22" s="90" customFormat="1" ht="20.100000000000001" customHeight="1">
      <c r="A301" s="347"/>
      <c r="B301" s="182" t="s">
        <v>1147</v>
      </c>
      <c r="C301" s="37" t="s">
        <v>1140</v>
      </c>
      <c r="D301" s="37" t="s">
        <v>90</v>
      </c>
      <c r="E301" s="183">
        <f>E302</f>
        <v>563.99</v>
      </c>
      <c r="F301" s="183"/>
      <c r="G301" s="183"/>
      <c r="H301" s="183">
        <v>563.99</v>
      </c>
      <c r="I301" s="183"/>
      <c r="J301" s="183"/>
      <c r="K301" s="182" t="s">
        <v>1147</v>
      </c>
      <c r="L301" s="37" t="s">
        <v>1140</v>
      </c>
      <c r="M301" s="37" t="s">
        <v>90</v>
      </c>
      <c r="N301" s="183">
        <v>563.99</v>
      </c>
      <c r="O301" s="183"/>
      <c r="P301" s="183"/>
      <c r="Q301" s="101" t="b">
        <f t="shared" si="75"/>
        <v>1</v>
      </c>
      <c r="R301" s="101" t="b">
        <f t="shared" si="76"/>
        <v>1</v>
      </c>
      <c r="S301" s="101" t="b">
        <f t="shared" si="77"/>
        <v>1</v>
      </c>
      <c r="T301" s="167">
        <f t="shared" si="78"/>
        <v>0</v>
      </c>
      <c r="U301" s="167">
        <f t="shared" si="79"/>
        <v>0</v>
      </c>
      <c r="V301" s="167">
        <f t="shared" si="80"/>
        <v>0</v>
      </c>
    </row>
    <row r="302" spans="1:22" s="90" customFormat="1" ht="20.100000000000001" customHeight="1">
      <c r="A302" s="347"/>
      <c r="B302" s="182" t="s">
        <v>133</v>
      </c>
      <c r="C302" s="37" t="s">
        <v>1140</v>
      </c>
      <c r="D302" s="37" t="s">
        <v>19</v>
      </c>
      <c r="E302" s="183">
        <f>'Вед-я стр-ра'!H581</f>
        <v>563.99</v>
      </c>
      <c r="F302" s="183"/>
      <c r="G302" s="183"/>
      <c r="H302" s="183">
        <v>563.99</v>
      </c>
      <c r="I302" s="183"/>
      <c r="J302" s="183"/>
      <c r="K302" s="182" t="s">
        <v>145</v>
      </c>
      <c r="L302" s="37" t="s">
        <v>1140</v>
      </c>
      <c r="M302" s="37" t="s">
        <v>153</v>
      </c>
      <c r="N302" s="183">
        <v>563.99</v>
      </c>
      <c r="O302" s="183"/>
      <c r="P302" s="183"/>
      <c r="Q302" s="101" t="b">
        <f t="shared" si="75"/>
        <v>0</v>
      </c>
      <c r="R302" s="101" t="b">
        <f t="shared" si="76"/>
        <v>1</v>
      </c>
      <c r="S302" s="101" t="b">
        <f t="shared" si="77"/>
        <v>0</v>
      </c>
      <c r="T302" s="167">
        <f t="shared" si="78"/>
        <v>0</v>
      </c>
      <c r="U302" s="167">
        <f t="shared" si="79"/>
        <v>0</v>
      </c>
      <c r="V302" s="167">
        <f t="shared" si="80"/>
        <v>0</v>
      </c>
    </row>
    <row r="303" spans="1:22" s="90" customFormat="1" ht="20.100000000000001" customHeight="1">
      <c r="A303" s="285"/>
      <c r="B303" s="182" t="s">
        <v>1106</v>
      </c>
      <c r="C303" s="37" t="s">
        <v>823</v>
      </c>
      <c r="D303" s="57" t="s">
        <v>90</v>
      </c>
      <c r="E303" s="183">
        <f>E304</f>
        <v>15780.06</v>
      </c>
      <c r="F303" s="183">
        <f>F304</f>
        <v>15780.06</v>
      </c>
      <c r="G303" s="183">
        <f>G304</f>
        <v>15780.06</v>
      </c>
      <c r="H303" s="183">
        <v>15780.06</v>
      </c>
      <c r="I303" s="183">
        <v>15780.06</v>
      </c>
      <c r="J303" s="183">
        <v>15780.06</v>
      </c>
      <c r="K303" s="182" t="s">
        <v>1106</v>
      </c>
      <c r="L303" s="37" t="s">
        <v>823</v>
      </c>
      <c r="M303" s="57" t="s">
        <v>90</v>
      </c>
      <c r="N303" s="183">
        <v>15780.06</v>
      </c>
      <c r="O303" s="183">
        <v>15780.06</v>
      </c>
      <c r="P303" s="183">
        <v>15780.06</v>
      </c>
      <c r="Q303" s="101" t="b">
        <f t="shared" si="75"/>
        <v>1</v>
      </c>
      <c r="R303" s="101" t="b">
        <f t="shared" si="76"/>
        <v>1</v>
      </c>
      <c r="S303" s="101" t="b">
        <f t="shared" si="77"/>
        <v>1</v>
      </c>
      <c r="T303" s="167">
        <f t="shared" si="78"/>
        <v>0</v>
      </c>
      <c r="U303" s="167">
        <f t="shared" si="79"/>
        <v>0</v>
      </c>
      <c r="V303" s="167">
        <f t="shared" si="80"/>
        <v>0</v>
      </c>
    </row>
    <row r="304" spans="1:22" s="90" customFormat="1" ht="20.100000000000001" customHeight="1">
      <c r="A304" s="285"/>
      <c r="B304" s="182" t="s">
        <v>145</v>
      </c>
      <c r="C304" s="37" t="s">
        <v>823</v>
      </c>
      <c r="D304" s="57" t="s">
        <v>153</v>
      </c>
      <c r="E304" s="183">
        <f>'Вед-я стр-ра'!H1198</f>
        <v>15780.06</v>
      </c>
      <c r="F304" s="183">
        <f>'Вед-я стр-ра'!I1198</f>
        <v>15780.06</v>
      </c>
      <c r="G304" s="183">
        <f>'Вед-я стр-ра'!J1198</f>
        <v>15780.06</v>
      </c>
      <c r="H304" s="183">
        <v>15780.06</v>
      </c>
      <c r="I304" s="183">
        <v>15780.06</v>
      </c>
      <c r="J304" s="183">
        <v>15780.06</v>
      </c>
      <c r="K304" s="182" t="s">
        <v>145</v>
      </c>
      <c r="L304" s="37" t="s">
        <v>823</v>
      </c>
      <c r="M304" s="57" t="s">
        <v>153</v>
      </c>
      <c r="N304" s="183">
        <v>15780.06</v>
      </c>
      <c r="O304" s="183">
        <v>15780.06</v>
      </c>
      <c r="P304" s="183">
        <v>15780.06</v>
      </c>
      <c r="Q304" s="101" t="b">
        <f t="shared" si="75"/>
        <v>1</v>
      </c>
      <c r="R304" s="101" t="b">
        <f t="shared" si="76"/>
        <v>1</v>
      </c>
      <c r="S304" s="101" t="b">
        <f t="shared" si="77"/>
        <v>1</v>
      </c>
      <c r="T304" s="167">
        <f t="shared" si="78"/>
        <v>0</v>
      </c>
      <c r="U304" s="167">
        <f t="shared" si="79"/>
        <v>0</v>
      </c>
      <c r="V304" s="167">
        <f t="shared" si="80"/>
        <v>0</v>
      </c>
    </row>
    <row r="305" spans="1:22" s="90" customFormat="1" ht="20.100000000000001" customHeight="1">
      <c r="A305" s="285"/>
      <c r="B305" s="182" t="s">
        <v>913</v>
      </c>
      <c r="C305" s="57" t="s">
        <v>912</v>
      </c>
      <c r="D305" s="57" t="s">
        <v>90</v>
      </c>
      <c r="E305" s="58">
        <f>E306</f>
        <v>16472.95</v>
      </c>
      <c r="F305" s="58">
        <f>F306</f>
        <v>16472.95</v>
      </c>
      <c r="G305" s="58">
        <f>G306</f>
        <v>16472.95</v>
      </c>
      <c r="H305" s="58">
        <v>16472.95</v>
      </c>
      <c r="I305" s="58">
        <v>16472.95</v>
      </c>
      <c r="J305" s="58">
        <v>16472.95</v>
      </c>
      <c r="K305" s="182" t="s">
        <v>913</v>
      </c>
      <c r="L305" s="57" t="s">
        <v>912</v>
      </c>
      <c r="M305" s="57" t="s">
        <v>90</v>
      </c>
      <c r="N305" s="58">
        <v>16472.95</v>
      </c>
      <c r="O305" s="58">
        <v>16472.95</v>
      </c>
      <c r="P305" s="58">
        <v>16472.95</v>
      </c>
      <c r="Q305" s="101" t="b">
        <f t="shared" si="75"/>
        <v>1</v>
      </c>
      <c r="R305" s="101" t="b">
        <f t="shared" si="76"/>
        <v>1</v>
      </c>
      <c r="S305" s="101" t="b">
        <f t="shared" si="77"/>
        <v>1</v>
      </c>
      <c r="T305" s="167">
        <f t="shared" si="78"/>
        <v>0</v>
      </c>
      <c r="U305" s="167">
        <f t="shared" si="79"/>
        <v>0</v>
      </c>
      <c r="V305" s="167">
        <f t="shared" si="80"/>
        <v>0</v>
      </c>
    </row>
    <row r="306" spans="1:22" s="90" customFormat="1" ht="20.100000000000001" customHeight="1">
      <c r="A306" s="285"/>
      <c r="B306" s="182" t="s">
        <v>145</v>
      </c>
      <c r="C306" s="57" t="s">
        <v>912</v>
      </c>
      <c r="D306" s="57" t="s">
        <v>153</v>
      </c>
      <c r="E306" s="58">
        <f>'Вед-я стр-ра'!H951+'Вед-я стр-ра'!H1021</f>
        <v>16472.95</v>
      </c>
      <c r="F306" s="58">
        <f>'Вед-я стр-ра'!I951+'Вед-я стр-ра'!I1021</f>
        <v>16472.95</v>
      </c>
      <c r="G306" s="58">
        <f>'Вед-я стр-ра'!J951+'Вед-я стр-ра'!J1021</f>
        <v>16472.95</v>
      </c>
      <c r="H306" s="58">
        <v>16472.95</v>
      </c>
      <c r="I306" s="58">
        <v>16472.95</v>
      </c>
      <c r="J306" s="58">
        <v>16472.95</v>
      </c>
      <c r="K306" s="182" t="s">
        <v>145</v>
      </c>
      <c r="L306" s="57" t="s">
        <v>912</v>
      </c>
      <c r="M306" s="57" t="s">
        <v>153</v>
      </c>
      <c r="N306" s="58">
        <v>16472.95</v>
      </c>
      <c r="O306" s="58">
        <v>16472.95</v>
      </c>
      <c r="P306" s="58">
        <v>16472.95</v>
      </c>
      <c r="Q306" s="101" t="b">
        <f t="shared" si="75"/>
        <v>1</v>
      </c>
      <c r="R306" s="101" t="b">
        <f t="shared" si="76"/>
        <v>1</v>
      </c>
      <c r="S306" s="101" t="b">
        <f t="shared" si="77"/>
        <v>1</v>
      </c>
      <c r="T306" s="167">
        <f t="shared" si="78"/>
        <v>0</v>
      </c>
      <c r="U306" s="167">
        <f t="shared" si="79"/>
        <v>0</v>
      </c>
      <c r="V306" s="167">
        <f t="shared" si="80"/>
        <v>0</v>
      </c>
    </row>
    <row r="307" spans="1:22" s="90" customFormat="1" ht="20.100000000000001" customHeight="1">
      <c r="A307" s="347"/>
      <c r="B307" s="182" t="s">
        <v>910</v>
      </c>
      <c r="C307" s="57" t="s">
        <v>881</v>
      </c>
      <c r="D307" s="57" t="s">
        <v>90</v>
      </c>
      <c r="E307" s="58">
        <f>E308</f>
        <v>100</v>
      </c>
      <c r="F307" s="58">
        <f>F308</f>
        <v>0</v>
      </c>
      <c r="G307" s="58">
        <f>G308</f>
        <v>0</v>
      </c>
      <c r="H307" s="58">
        <v>100</v>
      </c>
      <c r="I307" s="58">
        <v>0</v>
      </c>
      <c r="J307" s="58">
        <v>0</v>
      </c>
      <c r="K307" s="182" t="s">
        <v>910</v>
      </c>
      <c r="L307" s="57" t="s">
        <v>881</v>
      </c>
      <c r="M307" s="57" t="s">
        <v>90</v>
      </c>
      <c r="N307" s="58">
        <v>100</v>
      </c>
      <c r="O307" s="58">
        <v>0</v>
      </c>
      <c r="P307" s="58">
        <v>0</v>
      </c>
      <c r="Q307" s="101" t="b">
        <f t="shared" si="75"/>
        <v>1</v>
      </c>
      <c r="R307" s="101" t="b">
        <f t="shared" si="76"/>
        <v>1</v>
      </c>
      <c r="S307" s="101" t="b">
        <f t="shared" si="77"/>
        <v>1</v>
      </c>
      <c r="T307" s="167">
        <f t="shared" si="78"/>
        <v>0</v>
      </c>
      <c r="U307" s="167">
        <f t="shared" si="79"/>
        <v>0</v>
      </c>
      <c r="V307" s="167">
        <f t="shared" si="80"/>
        <v>0</v>
      </c>
    </row>
    <row r="308" spans="1:22" s="90" customFormat="1" ht="20.100000000000001" customHeight="1">
      <c r="A308" s="347"/>
      <c r="B308" s="114" t="s">
        <v>216</v>
      </c>
      <c r="C308" s="112" t="s">
        <v>881</v>
      </c>
      <c r="D308" s="112" t="s">
        <v>141</v>
      </c>
      <c r="E308" s="113">
        <f>'Вед-я стр-ра'!H1200</f>
        <v>100</v>
      </c>
      <c r="F308" s="113">
        <f>'Вед-я стр-ра'!I1200</f>
        <v>0</v>
      </c>
      <c r="G308" s="113">
        <f>'Вед-я стр-ра'!J1200</f>
        <v>0</v>
      </c>
      <c r="H308" s="113">
        <v>100</v>
      </c>
      <c r="I308" s="113">
        <v>0</v>
      </c>
      <c r="J308" s="113">
        <v>0</v>
      </c>
      <c r="K308" s="114" t="s">
        <v>216</v>
      </c>
      <c r="L308" s="112" t="s">
        <v>881</v>
      </c>
      <c r="M308" s="112" t="s">
        <v>141</v>
      </c>
      <c r="N308" s="113">
        <v>100</v>
      </c>
      <c r="O308" s="113">
        <v>0</v>
      </c>
      <c r="P308" s="113">
        <v>0</v>
      </c>
      <c r="Q308" s="101" t="b">
        <f t="shared" si="75"/>
        <v>1</v>
      </c>
      <c r="R308" s="101" t="b">
        <f t="shared" si="76"/>
        <v>1</v>
      </c>
      <c r="S308" s="101" t="b">
        <f t="shared" si="77"/>
        <v>1</v>
      </c>
      <c r="T308" s="167">
        <f t="shared" si="78"/>
        <v>0</v>
      </c>
      <c r="U308" s="167">
        <f t="shared" si="79"/>
        <v>0</v>
      </c>
      <c r="V308" s="167">
        <f t="shared" si="80"/>
        <v>0</v>
      </c>
    </row>
    <row r="309" spans="1:22" s="90" customFormat="1" ht="20.100000000000001" customHeight="1">
      <c r="A309" s="347"/>
      <c r="B309" s="182" t="s">
        <v>1164</v>
      </c>
      <c r="C309" s="517" t="s">
        <v>1250</v>
      </c>
      <c r="D309" s="57" t="s">
        <v>90</v>
      </c>
      <c r="E309" s="183">
        <f>E310</f>
        <v>10496.66</v>
      </c>
      <c r="F309" s="183">
        <f>F310</f>
        <v>0</v>
      </c>
      <c r="G309" s="183">
        <f>G310</f>
        <v>0</v>
      </c>
      <c r="H309" s="183">
        <v>10496.66</v>
      </c>
      <c r="I309" s="183">
        <v>0</v>
      </c>
      <c r="J309" s="183">
        <v>0</v>
      </c>
      <c r="K309" s="182" t="s">
        <v>1164</v>
      </c>
      <c r="L309" s="37" t="s">
        <v>1073</v>
      </c>
      <c r="M309" s="57" t="s">
        <v>90</v>
      </c>
      <c r="N309" s="183">
        <v>10496.66</v>
      </c>
      <c r="O309" s="183">
        <v>0</v>
      </c>
      <c r="P309" s="183">
        <v>0</v>
      </c>
      <c r="Q309" s="101" t="b">
        <f t="shared" si="75"/>
        <v>1</v>
      </c>
      <c r="R309" s="101" t="b">
        <f t="shared" si="76"/>
        <v>0</v>
      </c>
      <c r="S309" s="101" t="b">
        <f t="shared" si="77"/>
        <v>1</v>
      </c>
      <c r="T309" s="167">
        <f t="shared" si="78"/>
        <v>0</v>
      </c>
      <c r="U309" s="167">
        <f t="shared" si="79"/>
        <v>0</v>
      </c>
      <c r="V309" s="167">
        <f t="shared" si="80"/>
        <v>0</v>
      </c>
    </row>
    <row r="310" spans="1:22" s="90" customFormat="1" ht="20.100000000000001" customHeight="1">
      <c r="A310" s="347"/>
      <c r="B310" s="182" t="s">
        <v>145</v>
      </c>
      <c r="C310" s="517" t="s">
        <v>1250</v>
      </c>
      <c r="D310" s="37" t="s">
        <v>153</v>
      </c>
      <c r="E310" s="183">
        <f>'Вед-я стр-ра'!H957</f>
        <v>10496.66</v>
      </c>
      <c r="F310" s="183">
        <f>'Вед-я стр-ра'!I1087</f>
        <v>0</v>
      </c>
      <c r="G310" s="183">
        <f>'Вед-я стр-ра'!J1087</f>
        <v>0</v>
      </c>
      <c r="H310" s="183">
        <v>10496.66</v>
      </c>
      <c r="I310" s="183">
        <v>0</v>
      </c>
      <c r="J310" s="183">
        <v>0</v>
      </c>
      <c r="K310" s="182" t="s">
        <v>145</v>
      </c>
      <c r="L310" s="37" t="s">
        <v>1073</v>
      </c>
      <c r="M310" s="37" t="s">
        <v>153</v>
      </c>
      <c r="N310" s="183">
        <v>10496.66</v>
      </c>
      <c r="O310" s="183">
        <v>0</v>
      </c>
      <c r="P310" s="183">
        <v>0</v>
      </c>
      <c r="Q310" s="101" t="b">
        <f t="shared" si="75"/>
        <v>1</v>
      </c>
      <c r="R310" s="101" t="b">
        <f t="shared" si="76"/>
        <v>0</v>
      </c>
      <c r="S310" s="101" t="b">
        <f t="shared" si="77"/>
        <v>1</v>
      </c>
      <c r="T310" s="167">
        <f t="shared" si="78"/>
        <v>0</v>
      </c>
      <c r="U310" s="167">
        <f t="shared" si="79"/>
        <v>0</v>
      </c>
      <c r="V310" s="167">
        <f t="shared" si="80"/>
        <v>0</v>
      </c>
    </row>
    <row r="311" spans="1:22" s="90" customFormat="1" ht="20.100000000000001" customHeight="1">
      <c r="A311" s="347"/>
      <c r="B311" s="182" t="s">
        <v>1162</v>
      </c>
      <c r="C311" s="37" t="s">
        <v>1157</v>
      </c>
      <c r="D311" s="37" t="s">
        <v>90</v>
      </c>
      <c r="E311" s="183">
        <f>E312</f>
        <v>10432.209999999999</v>
      </c>
      <c r="F311" s="183"/>
      <c r="G311" s="183"/>
      <c r="H311" s="183">
        <v>10432.209999999999</v>
      </c>
      <c r="I311" s="183"/>
      <c r="J311" s="183"/>
      <c r="K311" s="182" t="s">
        <v>1162</v>
      </c>
      <c r="L311" s="37" t="s">
        <v>1157</v>
      </c>
      <c r="M311" s="37" t="s">
        <v>90</v>
      </c>
      <c r="N311" s="183">
        <v>10432.209999999999</v>
      </c>
      <c r="O311" s="183"/>
      <c r="P311" s="183"/>
      <c r="Q311" s="101" t="b">
        <f t="shared" si="75"/>
        <v>1</v>
      </c>
      <c r="R311" s="101" t="b">
        <f t="shared" si="76"/>
        <v>1</v>
      </c>
      <c r="S311" s="101" t="b">
        <f t="shared" si="77"/>
        <v>1</v>
      </c>
      <c r="T311" s="167">
        <f t="shared" si="78"/>
        <v>0</v>
      </c>
      <c r="U311" s="167">
        <f t="shared" si="79"/>
        <v>0</v>
      </c>
      <c r="V311" s="167">
        <f t="shared" si="80"/>
        <v>0</v>
      </c>
    </row>
    <row r="312" spans="1:22" s="90" customFormat="1" ht="20.100000000000001" customHeight="1">
      <c r="A312" s="347"/>
      <c r="B312" s="182" t="s">
        <v>145</v>
      </c>
      <c r="C312" s="37" t="s">
        <v>1157</v>
      </c>
      <c r="D312" s="37" t="s">
        <v>153</v>
      </c>
      <c r="E312" s="183">
        <f>'Вед-я стр-ра'!H959</f>
        <v>10432.209999999999</v>
      </c>
      <c r="F312" s="183"/>
      <c r="G312" s="183"/>
      <c r="H312" s="183">
        <v>10432.209999999999</v>
      </c>
      <c r="I312" s="183"/>
      <c r="J312" s="183"/>
      <c r="K312" s="182" t="s">
        <v>145</v>
      </c>
      <c r="L312" s="37" t="s">
        <v>1157</v>
      </c>
      <c r="M312" s="37" t="s">
        <v>153</v>
      </c>
      <c r="N312" s="183">
        <v>10432.209999999999</v>
      </c>
      <c r="O312" s="183"/>
      <c r="P312" s="183"/>
      <c r="Q312" s="101" t="b">
        <f t="shared" si="75"/>
        <v>1</v>
      </c>
      <c r="R312" s="101" t="b">
        <f t="shared" si="76"/>
        <v>1</v>
      </c>
      <c r="S312" s="101" t="b">
        <f t="shared" si="77"/>
        <v>1</v>
      </c>
      <c r="T312" s="167">
        <f t="shared" si="78"/>
        <v>0</v>
      </c>
      <c r="U312" s="167">
        <f t="shared" si="79"/>
        <v>0</v>
      </c>
      <c r="V312" s="167">
        <f t="shared" si="80"/>
        <v>0</v>
      </c>
    </row>
    <row r="313" spans="1:22" s="90" customFormat="1" ht="20.100000000000001" customHeight="1">
      <c r="A313" s="347"/>
      <c r="B313" s="182" t="s">
        <v>1149</v>
      </c>
      <c r="C313" s="37" t="s">
        <v>1160</v>
      </c>
      <c r="D313" s="37" t="s">
        <v>90</v>
      </c>
      <c r="E313" s="183">
        <f>E314</f>
        <v>10423.15</v>
      </c>
      <c r="F313" s="183"/>
      <c r="G313" s="183"/>
      <c r="H313" s="183">
        <v>10423.15</v>
      </c>
      <c r="I313" s="183"/>
      <c r="J313" s="183"/>
      <c r="K313" s="182" t="s">
        <v>1149</v>
      </c>
      <c r="L313" s="37" t="s">
        <v>1160</v>
      </c>
      <c r="M313" s="37" t="s">
        <v>90</v>
      </c>
      <c r="N313" s="183">
        <v>10423.15</v>
      </c>
      <c r="O313" s="183"/>
      <c r="P313" s="183"/>
      <c r="Q313" s="101" t="b">
        <f t="shared" si="75"/>
        <v>1</v>
      </c>
      <c r="R313" s="101" t="b">
        <f t="shared" si="76"/>
        <v>1</v>
      </c>
      <c r="S313" s="101" t="b">
        <f t="shared" si="77"/>
        <v>1</v>
      </c>
      <c r="T313" s="167">
        <f t="shared" si="78"/>
        <v>0</v>
      </c>
      <c r="U313" s="167">
        <f t="shared" si="79"/>
        <v>0</v>
      </c>
      <c r="V313" s="167">
        <f t="shared" si="80"/>
        <v>0</v>
      </c>
    </row>
    <row r="314" spans="1:22" s="90" customFormat="1" ht="20.100000000000001" customHeight="1">
      <c r="A314" s="347"/>
      <c r="B314" s="182" t="s">
        <v>145</v>
      </c>
      <c r="C314" s="37" t="s">
        <v>1160</v>
      </c>
      <c r="D314" s="37" t="s">
        <v>153</v>
      </c>
      <c r="E314" s="183">
        <f>'Вед-я стр-ра'!H1087</f>
        <v>10423.15</v>
      </c>
      <c r="F314" s="183"/>
      <c r="G314" s="183"/>
      <c r="H314" s="183">
        <v>10423.15</v>
      </c>
      <c r="I314" s="183"/>
      <c r="J314" s="183"/>
      <c r="K314" s="182" t="s">
        <v>145</v>
      </c>
      <c r="L314" s="37" t="s">
        <v>1160</v>
      </c>
      <c r="M314" s="37" t="s">
        <v>153</v>
      </c>
      <c r="N314" s="183">
        <v>10423.15</v>
      </c>
      <c r="O314" s="183"/>
      <c r="P314" s="183"/>
      <c r="Q314" s="101" t="b">
        <f t="shared" si="75"/>
        <v>1</v>
      </c>
      <c r="R314" s="101" t="b">
        <f t="shared" si="76"/>
        <v>1</v>
      </c>
      <c r="S314" s="101" t="b">
        <f t="shared" si="77"/>
        <v>1</v>
      </c>
      <c r="T314" s="167">
        <f t="shared" si="78"/>
        <v>0</v>
      </c>
      <c r="U314" s="167">
        <f t="shared" si="79"/>
        <v>0</v>
      </c>
      <c r="V314" s="167">
        <f t="shared" si="80"/>
        <v>0</v>
      </c>
    </row>
    <row r="315" spans="1:22" s="90" customFormat="1" ht="20.100000000000001" customHeight="1">
      <c r="A315" s="347"/>
      <c r="B315" s="182" t="s">
        <v>1146</v>
      </c>
      <c r="C315" s="37" t="s">
        <v>1141</v>
      </c>
      <c r="D315" s="37" t="s">
        <v>90</v>
      </c>
      <c r="E315" s="183">
        <f>E316</f>
        <v>10378</v>
      </c>
      <c r="F315" s="183"/>
      <c r="G315" s="183"/>
      <c r="H315" s="183">
        <v>10378</v>
      </c>
      <c r="I315" s="183"/>
      <c r="J315" s="183"/>
      <c r="K315" s="182" t="s">
        <v>1146</v>
      </c>
      <c r="L315" s="37" t="s">
        <v>1141</v>
      </c>
      <c r="M315" s="37" t="s">
        <v>90</v>
      </c>
      <c r="N315" s="183">
        <v>10378</v>
      </c>
      <c r="O315" s="183"/>
      <c r="P315" s="183"/>
      <c r="Q315" s="101" t="b">
        <f t="shared" si="75"/>
        <v>1</v>
      </c>
      <c r="R315" s="101" t="b">
        <f t="shared" si="76"/>
        <v>1</v>
      </c>
      <c r="S315" s="101" t="b">
        <f t="shared" si="77"/>
        <v>1</v>
      </c>
      <c r="T315" s="167">
        <f t="shared" si="78"/>
        <v>0</v>
      </c>
      <c r="U315" s="167">
        <f t="shared" si="79"/>
        <v>0</v>
      </c>
      <c r="V315" s="167">
        <f t="shared" si="80"/>
        <v>0</v>
      </c>
    </row>
    <row r="316" spans="1:22" s="90" customFormat="1" ht="20.100000000000001" customHeight="1">
      <c r="A316" s="347"/>
      <c r="B316" s="496" t="s">
        <v>133</v>
      </c>
      <c r="C316" s="37" t="s">
        <v>1141</v>
      </c>
      <c r="D316" s="37" t="s">
        <v>19</v>
      </c>
      <c r="E316" s="183">
        <f>'Вед-я стр-ра'!H583</f>
        <v>10378</v>
      </c>
      <c r="F316" s="183"/>
      <c r="G316" s="183"/>
      <c r="H316" s="183">
        <v>10378</v>
      </c>
      <c r="I316" s="183"/>
      <c r="J316" s="183"/>
      <c r="K316" s="182" t="s">
        <v>145</v>
      </c>
      <c r="L316" s="37" t="s">
        <v>1141</v>
      </c>
      <c r="M316" s="37" t="s">
        <v>153</v>
      </c>
      <c r="N316" s="183">
        <v>10378</v>
      </c>
      <c r="O316" s="183"/>
      <c r="P316" s="183"/>
      <c r="Q316" s="101" t="b">
        <f t="shared" si="75"/>
        <v>0</v>
      </c>
      <c r="R316" s="101" t="b">
        <f t="shared" si="76"/>
        <v>1</v>
      </c>
      <c r="S316" s="101" t="b">
        <f t="shared" si="77"/>
        <v>0</v>
      </c>
      <c r="T316" s="167">
        <f t="shared" si="78"/>
        <v>0</v>
      </c>
      <c r="U316" s="167">
        <f t="shared" si="79"/>
        <v>0</v>
      </c>
      <c r="V316" s="167">
        <f t="shared" si="80"/>
        <v>0</v>
      </c>
    </row>
    <row r="317" spans="1:22" s="103" customFormat="1" ht="20.100000000000001" customHeight="1">
      <c r="A317" s="350"/>
      <c r="B317" s="243"/>
      <c r="C317" s="251"/>
      <c r="D317" s="239"/>
      <c r="E317" s="244"/>
      <c r="F317" s="244"/>
      <c r="G317" s="244"/>
      <c r="H317" s="244"/>
      <c r="I317" s="244"/>
      <c r="J317" s="244"/>
      <c r="K317" s="243"/>
      <c r="L317" s="251"/>
      <c r="M317" s="239"/>
      <c r="N317" s="244"/>
      <c r="O317" s="244"/>
      <c r="P317" s="244"/>
      <c r="Q317" s="101" t="b">
        <f t="shared" si="75"/>
        <v>1</v>
      </c>
      <c r="R317" s="101" t="b">
        <f t="shared" si="76"/>
        <v>1</v>
      </c>
      <c r="S317" s="101" t="b">
        <f t="shared" si="77"/>
        <v>1</v>
      </c>
      <c r="T317" s="167">
        <f t="shared" si="78"/>
        <v>0</v>
      </c>
      <c r="U317" s="167">
        <f t="shared" si="79"/>
        <v>0</v>
      </c>
      <c r="V317" s="167">
        <f t="shared" si="80"/>
        <v>0</v>
      </c>
    </row>
    <row r="318" spans="1:22" s="101" customFormat="1" ht="20.100000000000001" customHeight="1">
      <c r="A318" s="345"/>
      <c r="B318" s="42" t="s">
        <v>652</v>
      </c>
      <c r="C318" s="233" t="s">
        <v>496</v>
      </c>
      <c r="D318" s="233" t="s">
        <v>90</v>
      </c>
      <c r="E318" s="234">
        <f t="shared" ref="E318:G318" si="81">E319</f>
        <v>9488.2999999999993</v>
      </c>
      <c r="F318" s="234">
        <f t="shared" si="81"/>
        <v>9488.2999999999993</v>
      </c>
      <c r="G318" s="234">
        <f t="shared" si="81"/>
        <v>9488.2999999999993</v>
      </c>
      <c r="H318" s="234">
        <v>9488.2999999999993</v>
      </c>
      <c r="I318" s="234">
        <v>9488.2999999999993</v>
      </c>
      <c r="J318" s="234">
        <v>9488.2999999999993</v>
      </c>
      <c r="K318" s="42" t="s">
        <v>652</v>
      </c>
      <c r="L318" s="233" t="s">
        <v>496</v>
      </c>
      <c r="M318" s="233" t="s">
        <v>90</v>
      </c>
      <c r="N318" s="234">
        <v>9488.2999999999993</v>
      </c>
      <c r="O318" s="234">
        <v>9488.2999999999993</v>
      </c>
      <c r="P318" s="234">
        <v>9488.2999999999993</v>
      </c>
      <c r="Q318" s="101" t="b">
        <f t="shared" si="75"/>
        <v>1</v>
      </c>
      <c r="R318" s="101" t="b">
        <f t="shared" si="76"/>
        <v>1</v>
      </c>
      <c r="S318" s="101" t="b">
        <f t="shared" si="77"/>
        <v>1</v>
      </c>
      <c r="T318" s="167">
        <f t="shared" si="78"/>
        <v>0</v>
      </c>
      <c r="U318" s="167">
        <f t="shared" si="79"/>
        <v>0</v>
      </c>
      <c r="V318" s="167">
        <f t="shared" si="80"/>
        <v>0</v>
      </c>
    </row>
    <row r="319" spans="1:22" s="102" customFormat="1" ht="20.100000000000001" customHeight="1">
      <c r="A319" s="346"/>
      <c r="B319" s="28" t="s">
        <v>654</v>
      </c>
      <c r="C319" s="29" t="s">
        <v>653</v>
      </c>
      <c r="D319" s="236" t="s">
        <v>90</v>
      </c>
      <c r="E319" s="237">
        <f>E320+E323</f>
        <v>9488.2999999999993</v>
      </c>
      <c r="F319" s="237">
        <f t="shared" ref="F319:G319" si="82">F320+F323</f>
        <v>9488.2999999999993</v>
      </c>
      <c r="G319" s="237">
        <f t="shared" si="82"/>
        <v>9488.2999999999993</v>
      </c>
      <c r="H319" s="237">
        <v>9488.2999999999993</v>
      </c>
      <c r="I319" s="237">
        <v>9488.2999999999993</v>
      </c>
      <c r="J319" s="237">
        <v>9488.2999999999993</v>
      </c>
      <c r="K319" s="28" t="s">
        <v>654</v>
      </c>
      <c r="L319" s="29" t="s">
        <v>653</v>
      </c>
      <c r="M319" s="236" t="s">
        <v>90</v>
      </c>
      <c r="N319" s="237">
        <v>9488.2999999999993</v>
      </c>
      <c r="O319" s="237">
        <v>9488.2999999999993</v>
      </c>
      <c r="P319" s="237">
        <v>9488.2999999999993</v>
      </c>
      <c r="Q319" s="101" t="b">
        <f t="shared" si="75"/>
        <v>1</v>
      </c>
      <c r="R319" s="101" t="b">
        <f t="shared" si="76"/>
        <v>1</v>
      </c>
      <c r="S319" s="101" t="b">
        <f t="shared" si="77"/>
        <v>1</v>
      </c>
      <c r="T319" s="167">
        <f t="shared" si="78"/>
        <v>0</v>
      </c>
      <c r="U319" s="167">
        <f t="shared" si="79"/>
        <v>0</v>
      </c>
      <c r="V319" s="167">
        <f t="shared" si="80"/>
        <v>0</v>
      </c>
    </row>
    <row r="320" spans="1:22" s="90" customFormat="1" ht="20.100000000000001" customHeight="1">
      <c r="A320" s="347"/>
      <c r="B320" s="182" t="s">
        <v>497</v>
      </c>
      <c r="C320" s="36" t="s">
        <v>727</v>
      </c>
      <c r="D320" s="239" t="s">
        <v>90</v>
      </c>
      <c r="E320" s="240">
        <f t="shared" ref="E320:G324" si="83">E321</f>
        <v>6745.4199999999992</v>
      </c>
      <c r="F320" s="240">
        <f t="shared" si="83"/>
        <v>7105.7899999999991</v>
      </c>
      <c r="G320" s="240">
        <f t="shared" si="83"/>
        <v>7860.15</v>
      </c>
      <c r="H320" s="240">
        <v>6745.4199999999992</v>
      </c>
      <c r="I320" s="240">
        <v>7105.7899999999991</v>
      </c>
      <c r="J320" s="240">
        <v>7860.15</v>
      </c>
      <c r="K320" s="182" t="s">
        <v>497</v>
      </c>
      <c r="L320" s="36" t="s">
        <v>727</v>
      </c>
      <c r="M320" s="239" t="s">
        <v>90</v>
      </c>
      <c r="N320" s="240">
        <v>9488.2999999999993</v>
      </c>
      <c r="O320" s="240">
        <v>9488.2999999999993</v>
      </c>
      <c r="P320" s="240">
        <v>9488.2999999999993</v>
      </c>
      <c r="Q320" s="101" t="b">
        <f t="shared" si="75"/>
        <v>1</v>
      </c>
      <c r="R320" s="101" t="b">
        <f t="shared" si="76"/>
        <v>1</v>
      </c>
      <c r="S320" s="101" t="b">
        <f t="shared" si="77"/>
        <v>1</v>
      </c>
      <c r="T320" s="167">
        <f t="shared" si="78"/>
        <v>-2742.88</v>
      </c>
      <c r="U320" s="167">
        <f t="shared" si="79"/>
        <v>-2382.5100000000002</v>
      </c>
      <c r="V320" s="167">
        <f t="shared" si="80"/>
        <v>-1628.1499999999996</v>
      </c>
    </row>
    <row r="321" spans="1:22" s="97" customFormat="1" ht="20.100000000000001" customHeight="1">
      <c r="A321" s="222"/>
      <c r="B321" s="22" t="s">
        <v>773</v>
      </c>
      <c r="C321" s="36" t="s">
        <v>728</v>
      </c>
      <c r="D321" s="239" t="s">
        <v>90</v>
      </c>
      <c r="E321" s="244">
        <f t="shared" si="83"/>
        <v>6745.4199999999992</v>
      </c>
      <c r="F321" s="244">
        <f t="shared" si="83"/>
        <v>7105.7899999999991</v>
      </c>
      <c r="G321" s="244">
        <f t="shared" si="83"/>
        <v>7860.15</v>
      </c>
      <c r="H321" s="244">
        <v>6745.4199999999992</v>
      </c>
      <c r="I321" s="244">
        <v>7105.7899999999991</v>
      </c>
      <c r="J321" s="244">
        <v>7860.15</v>
      </c>
      <c r="K321" s="22" t="s">
        <v>773</v>
      </c>
      <c r="L321" s="36" t="s">
        <v>728</v>
      </c>
      <c r="M321" s="239" t="s">
        <v>90</v>
      </c>
      <c r="N321" s="244">
        <v>9488.2999999999993</v>
      </c>
      <c r="O321" s="244">
        <v>9488.2999999999993</v>
      </c>
      <c r="P321" s="244">
        <v>9488.2999999999993</v>
      </c>
      <c r="Q321" s="101" t="b">
        <f t="shared" si="75"/>
        <v>1</v>
      </c>
      <c r="R321" s="101" t="b">
        <f t="shared" si="76"/>
        <v>1</v>
      </c>
      <c r="S321" s="101" t="b">
        <f t="shared" si="77"/>
        <v>1</v>
      </c>
      <c r="T321" s="167">
        <f t="shared" si="78"/>
        <v>-2742.88</v>
      </c>
      <c r="U321" s="167">
        <f t="shared" si="79"/>
        <v>-2382.5100000000002</v>
      </c>
      <c r="V321" s="167">
        <f t="shared" si="80"/>
        <v>-1628.1499999999996</v>
      </c>
    </row>
    <row r="322" spans="1:22" s="97" customFormat="1" ht="20.100000000000001" customHeight="1">
      <c r="A322" s="222"/>
      <c r="B322" s="182" t="s">
        <v>145</v>
      </c>
      <c r="C322" s="36" t="s">
        <v>728</v>
      </c>
      <c r="D322" s="239" t="s">
        <v>153</v>
      </c>
      <c r="E322" s="240">
        <f>'Вед-я стр-ра'!H1276</f>
        <v>6745.4199999999992</v>
      </c>
      <c r="F322" s="240">
        <f>'Вед-я стр-ра'!I1276</f>
        <v>7105.7899999999991</v>
      </c>
      <c r="G322" s="240">
        <f>'Вед-я стр-ра'!J1276</f>
        <v>7860.15</v>
      </c>
      <c r="H322" s="240">
        <v>6745.4199999999992</v>
      </c>
      <c r="I322" s="240">
        <v>7105.7899999999991</v>
      </c>
      <c r="J322" s="240">
        <v>7860.15</v>
      </c>
      <c r="K322" s="182" t="s">
        <v>145</v>
      </c>
      <c r="L322" s="36" t="s">
        <v>728</v>
      </c>
      <c r="M322" s="239" t="s">
        <v>153</v>
      </c>
      <c r="N322" s="240">
        <v>9488.2999999999993</v>
      </c>
      <c r="O322" s="240">
        <v>9488.2999999999993</v>
      </c>
      <c r="P322" s="240">
        <v>9488.2999999999993</v>
      </c>
      <c r="Q322" s="101" t="b">
        <f t="shared" si="75"/>
        <v>1</v>
      </c>
      <c r="R322" s="101" t="b">
        <f t="shared" si="76"/>
        <v>1</v>
      </c>
      <c r="S322" s="101" t="b">
        <f t="shared" si="77"/>
        <v>1</v>
      </c>
      <c r="T322" s="167">
        <f t="shared" si="78"/>
        <v>-2742.88</v>
      </c>
      <c r="U322" s="167">
        <f t="shared" si="79"/>
        <v>-2382.5100000000002</v>
      </c>
      <c r="V322" s="167">
        <f t="shared" si="80"/>
        <v>-1628.1499999999996</v>
      </c>
    </row>
    <row r="323" spans="1:22" s="97" customFormat="1" ht="20.100000000000001" customHeight="1">
      <c r="A323" s="222"/>
      <c r="B323" s="496" t="s">
        <v>1228</v>
      </c>
      <c r="C323" s="498" t="s">
        <v>1225</v>
      </c>
      <c r="D323" s="512" t="s">
        <v>90</v>
      </c>
      <c r="E323" s="513">
        <f t="shared" si="83"/>
        <v>2742.88</v>
      </c>
      <c r="F323" s="513">
        <f t="shared" si="83"/>
        <v>2382.5100000000002</v>
      </c>
      <c r="G323" s="513">
        <f t="shared" si="83"/>
        <v>1628.15</v>
      </c>
      <c r="H323" s="513">
        <v>2742.88</v>
      </c>
      <c r="I323" s="513">
        <v>2382.5100000000002</v>
      </c>
      <c r="J323" s="513">
        <v>1628.15</v>
      </c>
      <c r="K323" s="182"/>
      <c r="L323" s="36"/>
      <c r="M323" s="239"/>
      <c r="N323" s="240"/>
      <c r="O323" s="240"/>
      <c r="P323" s="240"/>
      <c r="Q323" s="101" t="b">
        <f t="shared" si="75"/>
        <v>0</v>
      </c>
      <c r="R323" s="101" t="b">
        <f t="shared" si="76"/>
        <v>0</v>
      </c>
      <c r="S323" s="101" t="b">
        <f t="shared" si="77"/>
        <v>0</v>
      </c>
      <c r="T323" s="167">
        <f t="shared" si="78"/>
        <v>2742.88</v>
      </c>
      <c r="U323" s="167">
        <f t="shared" si="79"/>
        <v>2382.5100000000002</v>
      </c>
      <c r="V323" s="167">
        <f t="shared" si="80"/>
        <v>1628.15</v>
      </c>
    </row>
    <row r="324" spans="1:22" s="97" customFormat="1" ht="20.100000000000001" customHeight="1">
      <c r="A324" s="222"/>
      <c r="B324" s="496" t="s">
        <v>1229</v>
      </c>
      <c r="C324" s="498" t="s">
        <v>1226</v>
      </c>
      <c r="D324" s="512" t="s">
        <v>90</v>
      </c>
      <c r="E324" s="514">
        <f t="shared" si="83"/>
        <v>2742.88</v>
      </c>
      <c r="F324" s="514">
        <f t="shared" si="83"/>
        <v>2382.5100000000002</v>
      </c>
      <c r="G324" s="514">
        <f t="shared" si="83"/>
        <v>1628.15</v>
      </c>
      <c r="H324" s="514">
        <v>2742.88</v>
      </c>
      <c r="I324" s="514">
        <v>2382.5100000000002</v>
      </c>
      <c r="J324" s="514">
        <v>1628.15</v>
      </c>
      <c r="K324" s="182"/>
      <c r="L324" s="36"/>
      <c r="M324" s="239"/>
      <c r="N324" s="240"/>
      <c r="O324" s="240"/>
      <c r="P324" s="240"/>
      <c r="Q324" s="101" t="b">
        <f t="shared" si="75"/>
        <v>0</v>
      </c>
      <c r="R324" s="101" t="b">
        <f t="shared" si="76"/>
        <v>0</v>
      </c>
      <c r="S324" s="101" t="b">
        <f t="shared" si="77"/>
        <v>0</v>
      </c>
      <c r="T324" s="167">
        <f t="shared" si="78"/>
        <v>2742.88</v>
      </c>
      <c r="U324" s="167">
        <f t="shared" si="79"/>
        <v>2382.5100000000002</v>
      </c>
      <c r="V324" s="167">
        <f t="shared" si="80"/>
        <v>1628.15</v>
      </c>
    </row>
    <row r="325" spans="1:22" s="97" customFormat="1" ht="20.100000000000001" customHeight="1">
      <c r="A325" s="222"/>
      <c r="B325" s="496" t="s">
        <v>145</v>
      </c>
      <c r="C325" s="498" t="s">
        <v>1226</v>
      </c>
      <c r="D325" s="512" t="s">
        <v>153</v>
      </c>
      <c r="E325" s="513">
        <f>'Вед-я стр-ра'!H1279</f>
        <v>2742.88</v>
      </c>
      <c r="F325" s="513">
        <f>'Вед-я стр-ра'!I1279</f>
        <v>2382.5100000000002</v>
      </c>
      <c r="G325" s="513">
        <f>'Вед-я стр-ра'!J1279</f>
        <v>1628.15</v>
      </c>
      <c r="H325" s="513">
        <v>2742.88</v>
      </c>
      <c r="I325" s="513">
        <v>2382.5100000000002</v>
      </c>
      <c r="J325" s="513">
        <v>1628.15</v>
      </c>
      <c r="K325" s="182"/>
      <c r="L325" s="36"/>
      <c r="M325" s="239"/>
      <c r="N325" s="240"/>
      <c r="O325" s="240"/>
      <c r="P325" s="240"/>
      <c r="Q325" s="101" t="b">
        <f t="shared" si="75"/>
        <v>0</v>
      </c>
      <c r="R325" s="101" t="b">
        <f t="shared" si="76"/>
        <v>0</v>
      </c>
      <c r="S325" s="101" t="b">
        <f t="shared" si="77"/>
        <v>0</v>
      </c>
      <c r="T325" s="167">
        <f t="shared" si="78"/>
        <v>2742.88</v>
      </c>
      <c r="U325" s="167">
        <f t="shared" si="79"/>
        <v>2382.5100000000002</v>
      </c>
      <c r="V325" s="167">
        <f t="shared" si="80"/>
        <v>1628.15</v>
      </c>
    </row>
    <row r="326" spans="1:22" s="395" customFormat="1" ht="20.100000000000001" customHeight="1">
      <c r="A326" s="393"/>
      <c r="B326" s="54"/>
      <c r="C326" s="257"/>
      <c r="D326" s="257"/>
      <c r="E326" s="394"/>
      <c r="F326" s="394"/>
      <c r="G326" s="394"/>
      <c r="H326" s="394"/>
      <c r="I326" s="394"/>
      <c r="J326" s="394"/>
      <c r="K326" s="54"/>
      <c r="L326" s="257"/>
      <c r="M326" s="257"/>
      <c r="N326" s="394"/>
      <c r="O326" s="394"/>
      <c r="P326" s="394"/>
      <c r="Q326" s="101" t="b">
        <f t="shared" si="75"/>
        <v>1</v>
      </c>
      <c r="R326" s="101" t="b">
        <f t="shared" si="76"/>
        <v>1</v>
      </c>
      <c r="S326" s="101" t="b">
        <f t="shared" si="77"/>
        <v>1</v>
      </c>
      <c r="T326" s="167">
        <f t="shared" si="78"/>
        <v>0</v>
      </c>
      <c r="U326" s="167">
        <f t="shared" si="79"/>
        <v>0</v>
      </c>
      <c r="V326" s="167">
        <f t="shared" si="80"/>
        <v>0</v>
      </c>
    </row>
    <row r="327" spans="1:22" s="101" customFormat="1" ht="20.100000000000001" customHeight="1">
      <c r="A327" s="345"/>
      <c r="B327" s="42" t="s">
        <v>963</v>
      </c>
      <c r="C327" s="233" t="s">
        <v>454</v>
      </c>
      <c r="D327" s="233" t="s">
        <v>90</v>
      </c>
      <c r="E327" s="234">
        <f t="shared" ref="E327:G329" si="84">E328</f>
        <v>18375.850000000002</v>
      </c>
      <c r="F327" s="234">
        <f t="shared" si="84"/>
        <v>22626.58</v>
      </c>
      <c r="G327" s="234">
        <f t="shared" si="84"/>
        <v>22175.13</v>
      </c>
      <c r="H327" s="234">
        <v>20261.36</v>
      </c>
      <c r="I327" s="234">
        <v>24289.08</v>
      </c>
      <c r="J327" s="234">
        <v>22927.93</v>
      </c>
      <c r="K327" s="42" t="s">
        <v>963</v>
      </c>
      <c r="L327" s="233" t="s">
        <v>454</v>
      </c>
      <c r="M327" s="233" t="s">
        <v>90</v>
      </c>
      <c r="N327" s="234">
        <v>20261.36</v>
      </c>
      <c r="O327" s="234">
        <v>24289.08</v>
      </c>
      <c r="P327" s="234">
        <v>22927.93</v>
      </c>
      <c r="Q327" s="101" t="b">
        <f t="shared" si="75"/>
        <v>1</v>
      </c>
      <c r="R327" s="101" t="b">
        <f t="shared" si="76"/>
        <v>1</v>
      </c>
      <c r="S327" s="101" t="b">
        <f t="shared" si="77"/>
        <v>1</v>
      </c>
      <c r="T327" s="167">
        <f t="shared" si="78"/>
        <v>-1885.5099999999984</v>
      </c>
      <c r="U327" s="167">
        <f t="shared" si="79"/>
        <v>-1662.5</v>
      </c>
      <c r="V327" s="167">
        <f t="shared" si="80"/>
        <v>-752.79999999999927</v>
      </c>
    </row>
    <row r="328" spans="1:22" s="102" customFormat="1" ht="20.100000000000001" customHeight="1">
      <c r="A328" s="346"/>
      <c r="B328" s="28" t="s">
        <v>965</v>
      </c>
      <c r="C328" s="236" t="s">
        <v>966</v>
      </c>
      <c r="D328" s="236" t="s">
        <v>90</v>
      </c>
      <c r="E328" s="237">
        <f t="shared" si="84"/>
        <v>18375.850000000002</v>
      </c>
      <c r="F328" s="237">
        <f t="shared" si="84"/>
        <v>22626.58</v>
      </c>
      <c r="G328" s="237">
        <f t="shared" si="84"/>
        <v>22175.13</v>
      </c>
      <c r="H328" s="237">
        <v>20261.36</v>
      </c>
      <c r="I328" s="237">
        <v>24289.08</v>
      </c>
      <c r="J328" s="237">
        <v>22927.93</v>
      </c>
      <c r="K328" s="28" t="s">
        <v>965</v>
      </c>
      <c r="L328" s="236" t="s">
        <v>966</v>
      </c>
      <c r="M328" s="236" t="s">
        <v>90</v>
      </c>
      <c r="N328" s="237">
        <v>20261.36</v>
      </c>
      <c r="O328" s="237">
        <v>24289.08</v>
      </c>
      <c r="P328" s="237">
        <v>22927.93</v>
      </c>
      <c r="Q328" s="101" t="b">
        <f t="shared" si="75"/>
        <v>1</v>
      </c>
      <c r="R328" s="101" t="b">
        <f t="shared" si="76"/>
        <v>1</v>
      </c>
      <c r="S328" s="101" t="b">
        <f t="shared" si="77"/>
        <v>1</v>
      </c>
      <c r="T328" s="167">
        <f t="shared" si="78"/>
        <v>-1885.5099999999984</v>
      </c>
      <c r="U328" s="167">
        <f t="shared" si="79"/>
        <v>-1662.5</v>
      </c>
      <c r="V328" s="167">
        <f t="shared" si="80"/>
        <v>-752.79999999999927</v>
      </c>
    </row>
    <row r="329" spans="1:22" s="90" customFormat="1" ht="20.100000000000001" customHeight="1">
      <c r="A329" s="347"/>
      <c r="B329" s="515" t="s">
        <v>1230</v>
      </c>
      <c r="C329" s="239" t="s">
        <v>967</v>
      </c>
      <c r="D329" s="239" t="s">
        <v>90</v>
      </c>
      <c r="E329" s="240">
        <f>E330</f>
        <v>18375.850000000002</v>
      </c>
      <c r="F329" s="240">
        <f t="shared" si="84"/>
        <v>22626.58</v>
      </c>
      <c r="G329" s="240">
        <f t="shared" si="84"/>
        <v>22175.13</v>
      </c>
      <c r="H329" s="240">
        <v>20261.36</v>
      </c>
      <c r="I329" s="240">
        <v>24289.08</v>
      </c>
      <c r="J329" s="240">
        <v>22927.93</v>
      </c>
      <c r="K329" s="178" t="s">
        <v>464</v>
      </c>
      <c r="L329" s="239" t="s">
        <v>967</v>
      </c>
      <c r="M329" s="239" t="s">
        <v>90</v>
      </c>
      <c r="N329" s="240">
        <v>20261.36</v>
      </c>
      <c r="O329" s="240">
        <v>24289.08</v>
      </c>
      <c r="P329" s="240">
        <v>22927.93</v>
      </c>
      <c r="Q329" s="101" t="b">
        <f t="shared" si="75"/>
        <v>0</v>
      </c>
      <c r="R329" s="101" t="b">
        <f t="shared" si="76"/>
        <v>1</v>
      </c>
      <c r="S329" s="101" t="b">
        <f t="shared" si="77"/>
        <v>1</v>
      </c>
      <c r="T329" s="167">
        <f t="shared" si="78"/>
        <v>-1885.5099999999984</v>
      </c>
      <c r="U329" s="167">
        <f t="shared" si="79"/>
        <v>-1662.5</v>
      </c>
      <c r="V329" s="167">
        <f t="shared" si="80"/>
        <v>-752.79999999999927</v>
      </c>
    </row>
    <row r="330" spans="1:22" ht="20.100000000000001" customHeight="1">
      <c r="B330" s="23" t="s">
        <v>809</v>
      </c>
      <c r="C330" s="37" t="s">
        <v>968</v>
      </c>
      <c r="D330" s="37" t="s">
        <v>90</v>
      </c>
      <c r="E330" s="183">
        <f>E331</f>
        <v>18375.850000000002</v>
      </c>
      <c r="F330" s="183">
        <f>F331</f>
        <v>22626.58</v>
      </c>
      <c r="G330" s="183">
        <f>G331</f>
        <v>22175.13</v>
      </c>
      <c r="H330" s="183">
        <v>20261.36</v>
      </c>
      <c r="I330" s="183">
        <v>24289.08</v>
      </c>
      <c r="J330" s="183">
        <v>22927.93</v>
      </c>
      <c r="K330" s="23" t="s">
        <v>809</v>
      </c>
      <c r="L330" s="37" t="s">
        <v>968</v>
      </c>
      <c r="M330" s="37" t="s">
        <v>90</v>
      </c>
      <c r="N330" s="183">
        <v>20261.36</v>
      </c>
      <c r="O330" s="183">
        <v>24289.08</v>
      </c>
      <c r="P330" s="183">
        <v>22927.93</v>
      </c>
      <c r="Q330" s="101" t="b">
        <f t="shared" si="75"/>
        <v>1</v>
      </c>
      <c r="R330" s="101" t="b">
        <f t="shared" si="76"/>
        <v>1</v>
      </c>
      <c r="S330" s="101" t="b">
        <f t="shared" si="77"/>
        <v>1</v>
      </c>
      <c r="T330" s="167">
        <f t="shared" si="78"/>
        <v>-1885.5099999999984</v>
      </c>
      <c r="U330" s="167">
        <f t="shared" si="79"/>
        <v>-1662.5</v>
      </c>
      <c r="V330" s="167">
        <f t="shared" si="80"/>
        <v>-752.79999999999927</v>
      </c>
    </row>
    <row r="331" spans="1:22" ht="20.100000000000001" customHeight="1">
      <c r="B331" s="23" t="s">
        <v>147</v>
      </c>
      <c r="C331" s="37" t="s">
        <v>968</v>
      </c>
      <c r="D331" s="37" t="s">
        <v>154</v>
      </c>
      <c r="E331" s="183">
        <f>'Вед-я стр-ра'!H205</f>
        <v>18375.850000000002</v>
      </c>
      <c r="F331" s="183">
        <f>'Вед-я стр-ра'!I205</f>
        <v>22626.58</v>
      </c>
      <c r="G331" s="183">
        <f>'Вед-я стр-ра'!J205</f>
        <v>22175.13</v>
      </c>
      <c r="H331" s="183">
        <v>20261.36</v>
      </c>
      <c r="I331" s="183">
        <v>24289.08</v>
      </c>
      <c r="J331" s="183">
        <v>22927.93</v>
      </c>
      <c r="K331" s="23" t="s">
        <v>147</v>
      </c>
      <c r="L331" s="37" t="s">
        <v>968</v>
      </c>
      <c r="M331" s="37" t="s">
        <v>154</v>
      </c>
      <c r="N331" s="183">
        <v>20261.36</v>
      </c>
      <c r="O331" s="183">
        <v>24289.08</v>
      </c>
      <c r="P331" s="183">
        <v>22927.93</v>
      </c>
      <c r="Q331" s="101" t="b">
        <f t="shared" ref="Q331:Q384" si="85">B331=K331</f>
        <v>1</v>
      </c>
      <c r="R331" s="101" t="b">
        <f t="shared" ref="R331:R384" si="86">C331=L331</f>
        <v>1</v>
      </c>
      <c r="S331" s="101" t="b">
        <f t="shared" ref="S331:S384" si="87">D331=M331</f>
        <v>1</v>
      </c>
      <c r="T331" s="167">
        <f t="shared" ref="T331:T384" si="88">E331-N331</f>
        <v>-1885.5099999999984</v>
      </c>
      <c r="U331" s="167">
        <f t="shared" ref="U331:U384" si="89">F331-O331</f>
        <v>-1662.5</v>
      </c>
      <c r="V331" s="167">
        <f t="shared" ref="V331:V384" si="90">G331-P331</f>
        <v>-752.79999999999927</v>
      </c>
    </row>
    <row r="332" spans="1:22" s="103" customFormat="1" ht="20.100000000000001" customHeight="1">
      <c r="A332" s="350"/>
      <c r="B332" s="178"/>
      <c r="C332" s="230"/>
      <c r="D332" s="239"/>
      <c r="E332" s="240"/>
      <c r="F332" s="240"/>
      <c r="G332" s="240"/>
      <c r="H332" s="240"/>
      <c r="I332" s="240"/>
      <c r="J332" s="240"/>
      <c r="K332" s="178"/>
      <c r="L332" s="230"/>
      <c r="M332" s="239"/>
      <c r="N332" s="240"/>
      <c r="O332" s="240"/>
      <c r="P332" s="240"/>
      <c r="Q332" s="101" t="b">
        <f t="shared" si="85"/>
        <v>1</v>
      </c>
      <c r="R332" s="101" t="b">
        <f t="shared" si="86"/>
        <v>1</v>
      </c>
      <c r="S332" s="101" t="b">
        <f t="shared" si="87"/>
        <v>1</v>
      </c>
      <c r="T332" s="167">
        <f t="shared" si="88"/>
        <v>0</v>
      </c>
      <c r="U332" s="167">
        <f t="shared" si="89"/>
        <v>0</v>
      </c>
      <c r="V332" s="167">
        <f t="shared" si="90"/>
        <v>0</v>
      </c>
    </row>
    <row r="333" spans="1:22" s="101" customFormat="1" ht="20.100000000000001" customHeight="1">
      <c r="A333" s="345"/>
      <c r="B333" s="42" t="s">
        <v>656</v>
      </c>
      <c r="C333" s="233" t="s">
        <v>279</v>
      </c>
      <c r="D333" s="233" t="s">
        <v>90</v>
      </c>
      <c r="E333" s="234">
        <f>E334+E342</f>
        <v>607707.79</v>
      </c>
      <c r="F333" s="234">
        <f>F334+F342</f>
        <v>597780.91</v>
      </c>
      <c r="G333" s="234">
        <f>G334+G342</f>
        <v>599056.97000000009</v>
      </c>
      <c r="H333" s="234">
        <v>609265.34000000008</v>
      </c>
      <c r="I333" s="234">
        <v>621731.07999999996</v>
      </c>
      <c r="J333" s="234">
        <v>596582.87</v>
      </c>
      <c r="K333" s="42" t="s">
        <v>656</v>
      </c>
      <c r="L333" s="233" t="s">
        <v>279</v>
      </c>
      <c r="M333" s="233" t="s">
        <v>90</v>
      </c>
      <c r="N333" s="234">
        <v>607888.64000000001</v>
      </c>
      <c r="O333" s="234">
        <v>620354.38</v>
      </c>
      <c r="P333" s="234">
        <v>595206.17000000004</v>
      </c>
      <c r="Q333" s="101" t="b">
        <f t="shared" si="85"/>
        <v>1</v>
      </c>
      <c r="R333" s="101" t="b">
        <f t="shared" si="86"/>
        <v>1</v>
      </c>
      <c r="S333" s="101" t="b">
        <f t="shared" si="87"/>
        <v>1</v>
      </c>
      <c r="T333" s="167">
        <f t="shared" si="88"/>
        <v>-180.84999999997672</v>
      </c>
      <c r="U333" s="167">
        <f t="shared" si="89"/>
        <v>-22573.469999999972</v>
      </c>
      <c r="V333" s="167">
        <f t="shared" si="90"/>
        <v>3850.8000000000466</v>
      </c>
    </row>
    <row r="334" spans="1:22" s="102" customFormat="1" ht="20.100000000000001" customHeight="1">
      <c r="A334" s="346"/>
      <c r="B334" s="28" t="s">
        <v>491</v>
      </c>
      <c r="C334" s="236" t="s">
        <v>280</v>
      </c>
      <c r="D334" s="236" t="s">
        <v>90</v>
      </c>
      <c r="E334" s="237">
        <f>E335</f>
        <v>20404.5</v>
      </c>
      <c r="F334" s="237">
        <f>F335</f>
        <v>20404.5</v>
      </c>
      <c r="G334" s="237">
        <f>G335</f>
        <v>20404.5</v>
      </c>
      <c r="H334" s="237">
        <v>20404.5</v>
      </c>
      <c r="I334" s="237">
        <v>20404.5</v>
      </c>
      <c r="J334" s="237">
        <v>20404.5</v>
      </c>
      <c r="K334" s="28" t="s">
        <v>491</v>
      </c>
      <c r="L334" s="236" t="s">
        <v>280</v>
      </c>
      <c r="M334" s="236" t="s">
        <v>90</v>
      </c>
      <c r="N334" s="237">
        <v>20404.5</v>
      </c>
      <c r="O334" s="237">
        <v>20404.5</v>
      </c>
      <c r="P334" s="237">
        <v>20404.5</v>
      </c>
      <c r="Q334" s="101" t="b">
        <f t="shared" si="85"/>
        <v>1</v>
      </c>
      <c r="R334" s="101" t="b">
        <f t="shared" si="86"/>
        <v>1</v>
      </c>
      <c r="S334" s="101" t="b">
        <f t="shared" si="87"/>
        <v>1</v>
      </c>
      <c r="T334" s="167">
        <f t="shared" si="88"/>
        <v>0</v>
      </c>
      <c r="U334" s="167">
        <f t="shared" si="89"/>
        <v>0</v>
      </c>
      <c r="V334" s="167">
        <f t="shared" si="90"/>
        <v>0</v>
      </c>
    </row>
    <row r="335" spans="1:22" s="90" customFormat="1" ht="20.100000000000001" customHeight="1">
      <c r="A335" s="347"/>
      <c r="B335" s="178" t="s">
        <v>523</v>
      </c>
      <c r="C335" s="230" t="s">
        <v>281</v>
      </c>
      <c r="D335" s="230" t="s">
        <v>90</v>
      </c>
      <c r="E335" s="252">
        <f>E336+E340</f>
        <v>20404.5</v>
      </c>
      <c r="F335" s="252">
        <f>F336+F340</f>
        <v>20404.5</v>
      </c>
      <c r="G335" s="252">
        <f>G336+G340</f>
        <v>20404.5</v>
      </c>
      <c r="H335" s="252">
        <v>20404.5</v>
      </c>
      <c r="I335" s="252">
        <v>20404.5</v>
      </c>
      <c r="J335" s="252">
        <v>20404.5</v>
      </c>
      <c r="K335" s="178" t="s">
        <v>523</v>
      </c>
      <c r="L335" s="230" t="s">
        <v>281</v>
      </c>
      <c r="M335" s="230" t="s">
        <v>90</v>
      </c>
      <c r="N335" s="252">
        <v>20404.5</v>
      </c>
      <c r="O335" s="252">
        <v>20404.5</v>
      </c>
      <c r="P335" s="252">
        <v>20404.5</v>
      </c>
      <c r="Q335" s="101" t="b">
        <f t="shared" si="85"/>
        <v>1</v>
      </c>
      <c r="R335" s="101" t="b">
        <f t="shared" si="86"/>
        <v>1</v>
      </c>
      <c r="S335" s="101" t="b">
        <f t="shared" si="87"/>
        <v>1</v>
      </c>
      <c r="T335" s="167">
        <f t="shared" si="88"/>
        <v>0</v>
      </c>
      <c r="U335" s="167">
        <f t="shared" si="89"/>
        <v>0</v>
      </c>
      <c r="V335" s="167">
        <f t="shared" si="90"/>
        <v>0</v>
      </c>
    </row>
    <row r="336" spans="1:22" s="90" customFormat="1" ht="20.100000000000001" customHeight="1">
      <c r="A336" s="347"/>
      <c r="B336" s="178" t="s">
        <v>189</v>
      </c>
      <c r="C336" s="230" t="s">
        <v>307</v>
      </c>
      <c r="D336" s="230" t="s">
        <v>90</v>
      </c>
      <c r="E336" s="252">
        <f>SUM(E337:E339)</f>
        <v>17676.95</v>
      </c>
      <c r="F336" s="252">
        <f>SUM(F337:F339)</f>
        <v>17676.95</v>
      </c>
      <c r="G336" s="252">
        <f>SUM(G337:G339)</f>
        <v>17676.95</v>
      </c>
      <c r="H336" s="252">
        <v>17676.95</v>
      </c>
      <c r="I336" s="252">
        <v>17676.95</v>
      </c>
      <c r="J336" s="252">
        <v>17676.95</v>
      </c>
      <c r="K336" s="178" t="s">
        <v>189</v>
      </c>
      <c r="L336" s="230" t="s">
        <v>307</v>
      </c>
      <c r="M336" s="230" t="s">
        <v>90</v>
      </c>
      <c r="N336" s="252">
        <v>17676.95</v>
      </c>
      <c r="O336" s="252">
        <v>17676.95</v>
      </c>
      <c r="P336" s="252">
        <v>17676.95</v>
      </c>
      <c r="Q336" s="101" t="b">
        <f t="shared" si="85"/>
        <v>1</v>
      </c>
      <c r="R336" s="101" t="b">
        <f t="shared" si="86"/>
        <v>1</v>
      </c>
      <c r="S336" s="101" t="b">
        <f t="shared" si="87"/>
        <v>1</v>
      </c>
      <c r="T336" s="167">
        <f t="shared" si="88"/>
        <v>0</v>
      </c>
      <c r="U336" s="167">
        <f t="shared" si="89"/>
        <v>0</v>
      </c>
      <c r="V336" s="167">
        <f t="shared" si="90"/>
        <v>0</v>
      </c>
    </row>
    <row r="337" spans="1:22" s="90" customFormat="1" ht="20.100000000000001" customHeight="1">
      <c r="A337" s="347"/>
      <c r="B337" s="180" t="s">
        <v>145</v>
      </c>
      <c r="C337" s="230" t="s">
        <v>307</v>
      </c>
      <c r="D337" s="230">
        <v>240</v>
      </c>
      <c r="E337" s="252">
        <f>'Вед-я стр-ра'!H146+'Вед-я стр-ра'!H966+'Вед-я стр-ра'!H1028+'Вед-я стр-ра'!H1094+'Вед-я стр-ра'!H1320+'Вед-я стр-ра'!H1233+'Вед-я стр-ра'!H671</f>
        <v>10068.450000000001</v>
      </c>
      <c r="F337" s="252">
        <f>'Вед-я стр-ра'!I146+'Вед-я стр-ра'!I966+'Вед-я стр-ра'!I1028+'Вед-я стр-ра'!I1094+'Вед-я стр-ра'!I1320+'Вед-я стр-ра'!I1233+'Вед-я стр-ра'!I671</f>
        <v>10068.450000000001</v>
      </c>
      <c r="G337" s="252">
        <f>'Вед-я стр-ра'!J146+'Вед-я стр-ра'!J966+'Вед-я стр-ра'!J1028+'Вед-я стр-ра'!J1094+'Вед-я стр-ра'!J1320+'Вед-я стр-ра'!J1233+'Вед-я стр-ра'!J671</f>
        <v>10068.450000000001</v>
      </c>
      <c r="H337" s="252">
        <v>10068.450000000001</v>
      </c>
      <c r="I337" s="252">
        <v>10068.450000000001</v>
      </c>
      <c r="J337" s="252">
        <v>10068.450000000001</v>
      </c>
      <c r="K337" s="180" t="s">
        <v>145</v>
      </c>
      <c r="L337" s="230" t="s">
        <v>307</v>
      </c>
      <c r="M337" s="230">
        <v>240</v>
      </c>
      <c r="N337" s="252">
        <v>10068.450000000001</v>
      </c>
      <c r="O337" s="252">
        <v>10068.450000000001</v>
      </c>
      <c r="P337" s="252">
        <v>10068.450000000001</v>
      </c>
      <c r="Q337" s="101" t="b">
        <f t="shared" si="85"/>
        <v>1</v>
      </c>
      <c r="R337" s="101" t="b">
        <f t="shared" si="86"/>
        <v>1</v>
      </c>
      <c r="S337" s="101" t="b">
        <f t="shared" si="87"/>
        <v>1</v>
      </c>
      <c r="T337" s="167">
        <f t="shared" si="88"/>
        <v>0</v>
      </c>
      <c r="U337" s="167">
        <f t="shared" si="89"/>
        <v>0</v>
      </c>
      <c r="V337" s="167">
        <f t="shared" si="90"/>
        <v>0</v>
      </c>
    </row>
    <row r="338" spans="1:22" s="90" customFormat="1" ht="20.100000000000001" customHeight="1">
      <c r="A338" s="347"/>
      <c r="B338" s="178" t="s">
        <v>132</v>
      </c>
      <c r="C338" s="230" t="s">
        <v>307</v>
      </c>
      <c r="D338" s="230" t="s">
        <v>171</v>
      </c>
      <c r="E338" s="252">
        <f>'Вед-я стр-ра'!H514+'Вед-я стр-ра'!H588</f>
        <v>5218.5</v>
      </c>
      <c r="F338" s="252">
        <f>'Вед-я стр-ра'!I514+'Вед-я стр-ра'!I588</f>
        <v>6618.5</v>
      </c>
      <c r="G338" s="252">
        <f>'Вед-я стр-ра'!J514+'Вед-я стр-ра'!J588</f>
        <v>6618.5</v>
      </c>
      <c r="H338" s="252">
        <v>5218.5</v>
      </c>
      <c r="I338" s="252">
        <v>6618.5</v>
      </c>
      <c r="J338" s="252">
        <v>6618.5</v>
      </c>
      <c r="K338" s="178" t="s">
        <v>132</v>
      </c>
      <c r="L338" s="230" t="s">
        <v>307</v>
      </c>
      <c r="M338" s="230" t="s">
        <v>171</v>
      </c>
      <c r="N338" s="252">
        <v>6618.5</v>
      </c>
      <c r="O338" s="252">
        <v>6618.5</v>
      </c>
      <c r="P338" s="252">
        <v>6618.5</v>
      </c>
      <c r="Q338" s="101" t="b">
        <f t="shared" si="85"/>
        <v>1</v>
      </c>
      <c r="R338" s="101" t="b">
        <f t="shared" si="86"/>
        <v>1</v>
      </c>
      <c r="S338" s="101" t="b">
        <f t="shared" si="87"/>
        <v>1</v>
      </c>
      <c r="T338" s="167">
        <f t="shared" si="88"/>
        <v>-1400</v>
      </c>
      <c r="U338" s="167">
        <f t="shared" si="89"/>
        <v>0</v>
      </c>
      <c r="V338" s="167">
        <f t="shared" si="90"/>
        <v>0</v>
      </c>
    </row>
    <row r="339" spans="1:22" s="90" customFormat="1" ht="20.100000000000001" customHeight="1">
      <c r="A339" s="347"/>
      <c r="B339" s="178" t="s">
        <v>133</v>
      </c>
      <c r="C339" s="230" t="s">
        <v>307</v>
      </c>
      <c r="D339" s="230">
        <v>620</v>
      </c>
      <c r="E339" s="252">
        <f>'Вед-я стр-ра'!H515+'Вед-я стр-ра'!H589</f>
        <v>2390</v>
      </c>
      <c r="F339" s="252">
        <f>'Вед-я стр-ра'!I515+'Вед-я стр-ра'!I589</f>
        <v>990</v>
      </c>
      <c r="G339" s="252">
        <f>'Вед-я стр-ра'!J515+'Вед-я стр-ра'!J589</f>
        <v>990</v>
      </c>
      <c r="H339" s="252">
        <v>2390</v>
      </c>
      <c r="I339" s="252">
        <v>990</v>
      </c>
      <c r="J339" s="252">
        <v>990</v>
      </c>
      <c r="K339" s="178" t="s">
        <v>133</v>
      </c>
      <c r="L339" s="230" t="s">
        <v>307</v>
      </c>
      <c r="M339" s="230">
        <v>620</v>
      </c>
      <c r="N339" s="252">
        <v>990</v>
      </c>
      <c r="O339" s="252">
        <v>990</v>
      </c>
      <c r="P339" s="252">
        <v>990</v>
      </c>
      <c r="Q339" s="101" t="b">
        <f t="shared" si="85"/>
        <v>1</v>
      </c>
      <c r="R339" s="101" t="b">
        <f t="shared" si="86"/>
        <v>1</v>
      </c>
      <c r="S339" s="101" t="b">
        <f t="shared" si="87"/>
        <v>1</v>
      </c>
      <c r="T339" s="167">
        <f t="shared" si="88"/>
        <v>1400</v>
      </c>
      <c r="U339" s="167">
        <f t="shared" si="89"/>
        <v>0</v>
      </c>
      <c r="V339" s="167">
        <f t="shared" si="90"/>
        <v>0</v>
      </c>
    </row>
    <row r="340" spans="1:22" s="90" customFormat="1" ht="20.100000000000001" customHeight="1">
      <c r="A340" s="347"/>
      <c r="B340" s="22" t="s">
        <v>757</v>
      </c>
      <c r="C340" s="230" t="s">
        <v>439</v>
      </c>
      <c r="D340" s="230" t="s">
        <v>90</v>
      </c>
      <c r="E340" s="252">
        <f>E341</f>
        <v>2727.55</v>
      </c>
      <c r="F340" s="252">
        <f>F341</f>
        <v>2727.55</v>
      </c>
      <c r="G340" s="252">
        <f>G341</f>
        <v>2727.55</v>
      </c>
      <c r="H340" s="252">
        <v>2727.55</v>
      </c>
      <c r="I340" s="252">
        <v>2727.55</v>
      </c>
      <c r="J340" s="252">
        <v>2727.55</v>
      </c>
      <c r="K340" s="22" t="s">
        <v>757</v>
      </c>
      <c r="L340" s="230" t="s">
        <v>439</v>
      </c>
      <c r="M340" s="230" t="s">
        <v>90</v>
      </c>
      <c r="N340" s="252">
        <v>2727.55</v>
      </c>
      <c r="O340" s="252">
        <v>2727.55</v>
      </c>
      <c r="P340" s="252">
        <v>2727.55</v>
      </c>
      <c r="Q340" s="101" t="b">
        <f t="shared" si="85"/>
        <v>1</v>
      </c>
      <c r="R340" s="101" t="b">
        <f t="shared" si="86"/>
        <v>1</v>
      </c>
      <c r="S340" s="101" t="b">
        <f t="shared" si="87"/>
        <v>1</v>
      </c>
      <c r="T340" s="167">
        <f t="shared" si="88"/>
        <v>0</v>
      </c>
      <c r="U340" s="167">
        <f t="shared" si="89"/>
        <v>0</v>
      </c>
      <c r="V340" s="167">
        <f t="shared" si="90"/>
        <v>0</v>
      </c>
    </row>
    <row r="341" spans="1:22" s="90" customFormat="1" ht="20.100000000000001" customHeight="1">
      <c r="A341" s="347"/>
      <c r="B341" s="180" t="s">
        <v>145</v>
      </c>
      <c r="C341" s="230" t="s">
        <v>439</v>
      </c>
      <c r="D341" s="230">
        <v>240</v>
      </c>
      <c r="E341" s="252">
        <f>'Вед-я стр-ра'!H968+'Вед-я стр-ра'!H1030+'Вед-я стр-ра'!H1096</f>
        <v>2727.55</v>
      </c>
      <c r="F341" s="252">
        <f>'Вед-я стр-ра'!I968+'Вед-я стр-ра'!I1030+'Вед-я стр-ра'!I1096</f>
        <v>2727.55</v>
      </c>
      <c r="G341" s="252">
        <f>'Вед-я стр-ра'!J968+'Вед-я стр-ра'!J1030+'Вед-я стр-ра'!J1096</f>
        <v>2727.55</v>
      </c>
      <c r="H341" s="252">
        <v>2727.55</v>
      </c>
      <c r="I341" s="252">
        <v>2727.55</v>
      </c>
      <c r="J341" s="252">
        <v>2727.55</v>
      </c>
      <c r="K341" s="180" t="s">
        <v>145</v>
      </c>
      <c r="L341" s="230" t="s">
        <v>439</v>
      </c>
      <c r="M341" s="230">
        <v>240</v>
      </c>
      <c r="N341" s="252">
        <v>2727.55</v>
      </c>
      <c r="O341" s="252">
        <v>2727.55</v>
      </c>
      <c r="P341" s="252">
        <v>2727.55</v>
      </c>
      <c r="Q341" s="101" t="b">
        <f t="shared" si="85"/>
        <v>1</v>
      </c>
      <c r="R341" s="101" t="b">
        <f t="shared" si="86"/>
        <v>1</v>
      </c>
      <c r="S341" s="101" t="b">
        <f t="shared" si="87"/>
        <v>1</v>
      </c>
      <c r="T341" s="167">
        <f t="shared" si="88"/>
        <v>0</v>
      </c>
      <c r="U341" s="167">
        <f t="shared" si="89"/>
        <v>0</v>
      </c>
      <c r="V341" s="167">
        <f t="shared" si="90"/>
        <v>0</v>
      </c>
    </row>
    <row r="342" spans="1:22" s="90" customFormat="1" ht="20.100000000000001" customHeight="1">
      <c r="A342" s="347"/>
      <c r="B342" s="241" t="s">
        <v>172</v>
      </c>
      <c r="C342" s="236" t="s">
        <v>347</v>
      </c>
      <c r="D342" s="236" t="s">
        <v>90</v>
      </c>
      <c r="E342" s="237">
        <f>E343+E347+E351+E356+E360+E364+E367+E370+E373+E378</f>
        <v>587303.29</v>
      </c>
      <c r="F342" s="237">
        <f>F343+F347+F351+F356+F360+F364+F367+F370+F373</f>
        <v>577376.41</v>
      </c>
      <c r="G342" s="237">
        <f>G343+G347+G351+G356+G360+G364+G367+G370+G373</f>
        <v>578652.47000000009</v>
      </c>
      <c r="H342" s="237">
        <v>588860.84000000008</v>
      </c>
      <c r="I342" s="237">
        <v>601326.57999999996</v>
      </c>
      <c r="J342" s="237">
        <v>576178.37</v>
      </c>
      <c r="K342" s="241" t="s">
        <v>172</v>
      </c>
      <c r="L342" s="236" t="s">
        <v>347</v>
      </c>
      <c r="M342" s="236" t="s">
        <v>90</v>
      </c>
      <c r="N342" s="237">
        <v>587484.14</v>
      </c>
      <c r="O342" s="237">
        <v>599949.88</v>
      </c>
      <c r="P342" s="237">
        <v>574801.67000000004</v>
      </c>
      <c r="Q342" s="101" t="b">
        <f t="shared" si="85"/>
        <v>1</v>
      </c>
      <c r="R342" s="101" t="b">
        <f t="shared" si="86"/>
        <v>1</v>
      </c>
      <c r="S342" s="101" t="b">
        <f t="shared" si="87"/>
        <v>1</v>
      </c>
      <c r="T342" s="167">
        <f t="shared" si="88"/>
        <v>-180.84999999997672</v>
      </c>
      <c r="U342" s="167">
        <f t="shared" si="89"/>
        <v>-22573.469999999972</v>
      </c>
      <c r="V342" s="167">
        <f t="shared" si="90"/>
        <v>3850.8000000000466</v>
      </c>
    </row>
    <row r="343" spans="1:22" s="90" customFormat="1" ht="20.100000000000001" customHeight="1">
      <c r="A343" s="347"/>
      <c r="B343" s="178" t="s">
        <v>900</v>
      </c>
      <c r="C343" s="230" t="s">
        <v>348</v>
      </c>
      <c r="D343" s="230" t="s">
        <v>90</v>
      </c>
      <c r="E343" s="252">
        <f>E344</f>
        <v>197945.02</v>
      </c>
      <c r="F343" s="252">
        <f t="shared" ref="F343:G343" si="91">F344</f>
        <v>198335.65</v>
      </c>
      <c r="G343" s="252">
        <f t="shared" si="91"/>
        <v>198741.91</v>
      </c>
      <c r="H343" s="252">
        <v>197945.02</v>
      </c>
      <c r="I343" s="252">
        <v>198335.65</v>
      </c>
      <c r="J343" s="252">
        <v>198741.91</v>
      </c>
      <c r="K343" s="178" t="s">
        <v>900</v>
      </c>
      <c r="L343" s="230" t="s">
        <v>348</v>
      </c>
      <c r="M343" s="230" t="s">
        <v>90</v>
      </c>
      <c r="N343" s="252">
        <v>196568.31999999998</v>
      </c>
      <c r="O343" s="252">
        <v>196958.94999999998</v>
      </c>
      <c r="P343" s="252">
        <v>197365.21000000002</v>
      </c>
      <c r="Q343" s="101" t="b">
        <f t="shared" si="85"/>
        <v>1</v>
      </c>
      <c r="R343" s="101" t="b">
        <f t="shared" si="86"/>
        <v>1</v>
      </c>
      <c r="S343" s="101" t="b">
        <f t="shared" si="87"/>
        <v>1</v>
      </c>
      <c r="T343" s="167">
        <f t="shared" si="88"/>
        <v>1376.7000000000116</v>
      </c>
      <c r="U343" s="167">
        <f t="shared" si="89"/>
        <v>1376.7000000000116</v>
      </c>
      <c r="V343" s="167">
        <f t="shared" si="90"/>
        <v>1376.6999999999825</v>
      </c>
    </row>
    <row r="344" spans="1:22" s="90" customFormat="1" ht="20.100000000000001" customHeight="1">
      <c r="A344" s="347"/>
      <c r="B344" s="178" t="s">
        <v>254</v>
      </c>
      <c r="C344" s="230" t="s">
        <v>349</v>
      </c>
      <c r="D344" s="230" t="s">
        <v>90</v>
      </c>
      <c r="E344" s="252">
        <f>SUM(E345:E346)</f>
        <v>197945.02</v>
      </c>
      <c r="F344" s="252">
        <f>SUM(F345:F346)</f>
        <v>198335.65</v>
      </c>
      <c r="G344" s="252">
        <f>SUM(G345:G346)</f>
        <v>198741.91</v>
      </c>
      <c r="H344" s="252">
        <v>197945.02</v>
      </c>
      <c r="I344" s="252">
        <v>198335.65</v>
      </c>
      <c r="J344" s="252">
        <v>198741.91</v>
      </c>
      <c r="K344" s="178" t="s">
        <v>254</v>
      </c>
      <c r="L344" s="230" t="s">
        <v>349</v>
      </c>
      <c r="M344" s="230" t="s">
        <v>90</v>
      </c>
      <c r="N344" s="252">
        <v>196568.31999999998</v>
      </c>
      <c r="O344" s="252">
        <v>196958.94999999998</v>
      </c>
      <c r="P344" s="252">
        <v>197365.21000000002</v>
      </c>
      <c r="Q344" s="101" t="b">
        <f t="shared" si="85"/>
        <v>1</v>
      </c>
      <c r="R344" s="101" t="b">
        <f t="shared" si="86"/>
        <v>1</v>
      </c>
      <c r="S344" s="101" t="b">
        <f t="shared" si="87"/>
        <v>1</v>
      </c>
      <c r="T344" s="167">
        <f t="shared" si="88"/>
        <v>1376.7000000000116</v>
      </c>
      <c r="U344" s="167">
        <f t="shared" si="89"/>
        <v>1376.7000000000116</v>
      </c>
      <c r="V344" s="167">
        <f t="shared" si="90"/>
        <v>1376.6999999999825</v>
      </c>
    </row>
    <row r="345" spans="1:22" s="90" customFormat="1" ht="20.100000000000001" customHeight="1">
      <c r="A345" s="347"/>
      <c r="B345" s="178" t="s">
        <v>132</v>
      </c>
      <c r="C345" s="230" t="s">
        <v>349</v>
      </c>
      <c r="D345" s="230" t="s">
        <v>171</v>
      </c>
      <c r="E345" s="252">
        <f>'Вед-я стр-ра'!H519</f>
        <v>178378.69999999998</v>
      </c>
      <c r="F345" s="252">
        <f>'Вед-я стр-ра'!I519</f>
        <v>178734.88999999998</v>
      </c>
      <c r="G345" s="252">
        <f>'Вед-я стр-ра'!J519</f>
        <v>179105.31</v>
      </c>
      <c r="H345" s="252">
        <v>178378.69999999998</v>
      </c>
      <c r="I345" s="252">
        <v>178734.88999999998</v>
      </c>
      <c r="J345" s="252">
        <v>179105.31</v>
      </c>
      <c r="K345" s="178" t="s">
        <v>132</v>
      </c>
      <c r="L345" s="230" t="s">
        <v>349</v>
      </c>
      <c r="M345" s="230" t="s">
        <v>171</v>
      </c>
      <c r="N345" s="252">
        <v>177069.71</v>
      </c>
      <c r="O345" s="252">
        <v>177425.9</v>
      </c>
      <c r="P345" s="252">
        <v>177796.32</v>
      </c>
      <c r="Q345" s="101" t="b">
        <f t="shared" si="85"/>
        <v>1</v>
      </c>
      <c r="R345" s="101" t="b">
        <f t="shared" si="86"/>
        <v>1</v>
      </c>
      <c r="S345" s="101" t="b">
        <f t="shared" si="87"/>
        <v>1</v>
      </c>
      <c r="T345" s="167">
        <f t="shared" si="88"/>
        <v>1308.9899999999907</v>
      </c>
      <c r="U345" s="167">
        <f t="shared" si="89"/>
        <v>1308.9899999999907</v>
      </c>
      <c r="V345" s="167">
        <f t="shared" si="90"/>
        <v>1308.9899999999907</v>
      </c>
    </row>
    <row r="346" spans="1:22" s="90" customFormat="1" ht="20.100000000000001" customHeight="1">
      <c r="A346" s="347"/>
      <c r="B346" s="178" t="s">
        <v>133</v>
      </c>
      <c r="C346" s="230" t="s">
        <v>349</v>
      </c>
      <c r="D346" s="230">
        <v>620</v>
      </c>
      <c r="E346" s="252">
        <f>'Вед-я стр-ра'!H520</f>
        <v>19566.319999999996</v>
      </c>
      <c r="F346" s="252">
        <f>'Вед-я стр-ра'!I520</f>
        <v>19600.759999999998</v>
      </c>
      <c r="G346" s="252">
        <f>'Вед-я стр-ра'!J520</f>
        <v>19636.599999999999</v>
      </c>
      <c r="H346" s="252">
        <v>19566.319999999996</v>
      </c>
      <c r="I346" s="252">
        <v>19600.759999999998</v>
      </c>
      <c r="J346" s="252">
        <v>19636.599999999999</v>
      </c>
      <c r="K346" s="178" t="s">
        <v>133</v>
      </c>
      <c r="L346" s="230" t="s">
        <v>349</v>
      </c>
      <c r="M346" s="230">
        <v>620</v>
      </c>
      <c r="N346" s="252">
        <v>19498.609999999997</v>
      </c>
      <c r="O346" s="252">
        <v>19533.05</v>
      </c>
      <c r="P346" s="252">
        <v>19568.89</v>
      </c>
      <c r="Q346" s="101" t="b">
        <f t="shared" si="85"/>
        <v>1</v>
      </c>
      <c r="R346" s="101" t="b">
        <f t="shared" si="86"/>
        <v>1</v>
      </c>
      <c r="S346" s="101" t="b">
        <f t="shared" si="87"/>
        <v>1</v>
      </c>
      <c r="T346" s="167">
        <f t="shared" si="88"/>
        <v>67.709999999999127</v>
      </c>
      <c r="U346" s="167">
        <f t="shared" si="89"/>
        <v>67.709999999999127</v>
      </c>
      <c r="V346" s="167">
        <f t="shared" si="90"/>
        <v>67.709999999999127</v>
      </c>
    </row>
    <row r="347" spans="1:22" s="90" customFormat="1" ht="20.100000000000001" customHeight="1">
      <c r="A347" s="347"/>
      <c r="B347" s="178" t="s">
        <v>351</v>
      </c>
      <c r="C347" s="230" t="s">
        <v>352</v>
      </c>
      <c r="D347" s="230" t="s">
        <v>90</v>
      </c>
      <c r="E347" s="252">
        <f>E348</f>
        <v>210564</v>
      </c>
      <c r="F347" s="252">
        <f t="shared" ref="F347:G347" si="92">F348</f>
        <v>211301.46</v>
      </c>
      <c r="G347" s="252">
        <f t="shared" si="92"/>
        <v>212068.43000000002</v>
      </c>
      <c r="H347" s="252">
        <v>210564</v>
      </c>
      <c r="I347" s="252">
        <v>211301.46</v>
      </c>
      <c r="J347" s="252">
        <v>212068.43000000002</v>
      </c>
      <c r="K347" s="178" t="s">
        <v>351</v>
      </c>
      <c r="L347" s="230" t="s">
        <v>352</v>
      </c>
      <c r="M347" s="230" t="s">
        <v>90</v>
      </c>
      <c r="N347" s="252">
        <v>210564</v>
      </c>
      <c r="O347" s="252">
        <v>211301.46</v>
      </c>
      <c r="P347" s="252">
        <v>212068.43000000002</v>
      </c>
      <c r="Q347" s="101" t="b">
        <f t="shared" si="85"/>
        <v>1</v>
      </c>
      <c r="R347" s="101" t="b">
        <f t="shared" si="86"/>
        <v>1</v>
      </c>
      <c r="S347" s="101" t="b">
        <f t="shared" si="87"/>
        <v>1</v>
      </c>
      <c r="T347" s="167">
        <f t="shared" si="88"/>
        <v>0</v>
      </c>
      <c r="U347" s="167">
        <f t="shared" si="89"/>
        <v>0</v>
      </c>
      <c r="V347" s="167">
        <f t="shared" si="90"/>
        <v>0</v>
      </c>
    </row>
    <row r="348" spans="1:22" s="90" customFormat="1" ht="20.100000000000001" customHeight="1">
      <c r="A348" s="347"/>
      <c r="B348" s="178" t="s">
        <v>254</v>
      </c>
      <c r="C348" s="230" t="s">
        <v>353</v>
      </c>
      <c r="D348" s="230" t="s">
        <v>90</v>
      </c>
      <c r="E348" s="252">
        <f>E349+E350</f>
        <v>210564</v>
      </c>
      <c r="F348" s="252">
        <f>F349+F350</f>
        <v>211301.46</v>
      </c>
      <c r="G348" s="252">
        <f>G349+G350</f>
        <v>212068.43000000002</v>
      </c>
      <c r="H348" s="252">
        <v>210564</v>
      </c>
      <c r="I348" s="252">
        <v>211301.46</v>
      </c>
      <c r="J348" s="252">
        <v>212068.43000000002</v>
      </c>
      <c r="K348" s="178" t="s">
        <v>254</v>
      </c>
      <c r="L348" s="230" t="s">
        <v>353</v>
      </c>
      <c r="M348" s="230" t="s">
        <v>90</v>
      </c>
      <c r="N348" s="252">
        <v>210564</v>
      </c>
      <c r="O348" s="252">
        <v>211301.46</v>
      </c>
      <c r="P348" s="252">
        <v>212068.43000000002</v>
      </c>
      <c r="Q348" s="101" t="b">
        <f t="shared" si="85"/>
        <v>1</v>
      </c>
      <c r="R348" s="101" t="b">
        <f t="shared" si="86"/>
        <v>1</v>
      </c>
      <c r="S348" s="101" t="b">
        <f t="shared" si="87"/>
        <v>1</v>
      </c>
      <c r="T348" s="167">
        <f t="shared" si="88"/>
        <v>0</v>
      </c>
      <c r="U348" s="167">
        <f t="shared" si="89"/>
        <v>0</v>
      </c>
      <c r="V348" s="167">
        <f t="shared" si="90"/>
        <v>0</v>
      </c>
    </row>
    <row r="349" spans="1:22" s="90" customFormat="1" ht="20.100000000000001" customHeight="1">
      <c r="A349" s="347"/>
      <c r="B349" s="178" t="s">
        <v>132</v>
      </c>
      <c r="C349" s="230" t="s">
        <v>353</v>
      </c>
      <c r="D349" s="230" t="s">
        <v>171</v>
      </c>
      <c r="E349" s="252">
        <f>'Вед-я стр-ра'!H593</f>
        <v>31907.42</v>
      </c>
      <c r="F349" s="252">
        <f>'Вед-я стр-ра'!I593</f>
        <v>31921.72</v>
      </c>
      <c r="G349" s="252">
        <f>'Вед-я стр-ра'!J593</f>
        <v>31936.580000000009</v>
      </c>
      <c r="H349" s="252">
        <v>31907.42</v>
      </c>
      <c r="I349" s="252">
        <v>31921.72</v>
      </c>
      <c r="J349" s="252">
        <v>31936.580000000009</v>
      </c>
      <c r="K349" s="178" t="s">
        <v>132</v>
      </c>
      <c r="L349" s="230" t="s">
        <v>353</v>
      </c>
      <c r="M349" s="230" t="s">
        <v>171</v>
      </c>
      <c r="N349" s="252">
        <v>69040.7</v>
      </c>
      <c r="O349" s="252">
        <v>69223.25</v>
      </c>
      <c r="P349" s="252">
        <v>69413.100000000006</v>
      </c>
      <c r="Q349" s="101" t="b">
        <f t="shared" si="85"/>
        <v>1</v>
      </c>
      <c r="R349" s="101" t="b">
        <f t="shared" si="86"/>
        <v>1</v>
      </c>
      <c r="S349" s="101" t="b">
        <f t="shared" si="87"/>
        <v>1</v>
      </c>
      <c r="T349" s="167">
        <f t="shared" si="88"/>
        <v>-37133.279999999999</v>
      </c>
      <c r="U349" s="167">
        <f t="shared" si="89"/>
        <v>-37301.53</v>
      </c>
      <c r="V349" s="167">
        <f t="shared" si="90"/>
        <v>-37476.519999999997</v>
      </c>
    </row>
    <row r="350" spans="1:22" s="90" customFormat="1" ht="20.100000000000001" customHeight="1">
      <c r="A350" s="347"/>
      <c r="B350" s="178" t="s">
        <v>133</v>
      </c>
      <c r="C350" s="230" t="s">
        <v>353</v>
      </c>
      <c r="D350" s="230" t="s">
        <v>19</v>
      </c>
      <c r="E350" s="252">
        <f>'Вед-я стр-ра'!H594</f>
        <v>178656.58</v>
      </c>
      <c r="F350" s="252">
        <f>'Вед-я стр-ра'!I594</f>
        <v>179379.74</v>
      </c>
      <c r="G350" s="252">
        <f>'Вед-я стр-ра'!J594</f>
        <v>180131.85</v>
      </c>
      <c r="H350" s="252">
        <v>178656.58</v>
      </c>
      <c r="I350" s="252">
        <v>179379.74</v>
      </c>
      <c r="J350" s="252">
        <v>180131.85</v>
      </c>
      <c r="K350" s="178" t="s">
        <v>133</v>
      </c>
      <c r="L350" s="230" t="s">
        <v>353</v>
      </c>
      <c r="M350" s="230" t="s">
        <v>19</v>
      </c>
      <c r="N350" s="252">
        <v>141523.29999999999</v>
      </c>
      <c r="O350" s="252">
        <v>142078.21</v>
      </c>
      <c r="P350" s="252">
        <v>142655.33000000002</v>
      </c>
      <c r="Q350" s="101" t="b">
        <f t="shared" si="85"/>
        <v>1</v>
      </c>
      <c r="R350" s="101" t="b">
        <f t="shared" si="86"/>
        <v>1</v>
      </c>
      <c r="S350" s="101" t="b">
        <f t="shared" si="87"/>
        <v>1</v>
      </c>
      <c r="T350" s="167">
        <f t="shared" si="88"/>
        <v>37133.279999999999</v>
      </c>
      <c r="U350" s="167">
        <f t="shared" si="89"/>
        <v>37301.53</v>
      </c>
      <c r="V350" s="167">
        <f t="shared" si="90"/>
        <v>37476.51999999999</v>
      </c>
    </row>
    <row r="351" spans="1:22" s="90" customFormat="1" ht="20.100000000000001" customHeight="1">
      <c r="A351" s="347"/>
      <c r="B351" s="178" t="s">
        <v>357</v>
      </c>
      <c r="C351" s="230" t="s">
        <v>355</v>
      </c>
      <c r="D351" s="230" t="s">
        <v>90</v>
      </c>
      <c r="E351" s="252">
        <f>E352+E354</f>
        <v>74748.719999999987</v>
      </c>
      <c r="F351" s="252">
        <f t="shared" ref="F351:G351" si="93">F352+F354</f>
        <v>74053.01999999999</v>
      </c>
      <c r="G351" s="252">
        <f t="shared" si="93"/>
        <v>74125.319999999992</v>
      </c>
      <c r="H351" s="252">
        <v>74934.89</v>
      </c>
      <c r="I351" s="252">
        <v>74239.19</v>
      </c>
      <c r="J351" s="252">
        <v>71651.22</v>
      </c>
      <c r="K351" s="178" t="s">
        <v>357</v>
      </c>
      <c r="L351" s="230" t="s">
        <v>355</v>
      </c>
      <c r="M351" s="230" t="s">
        <v>90</v>
      </c>
      <c r="N351" s="252">
        <v>74934.89</v>
      </c>
      <c r="O351" s="252">
        <v>74239.19</v>
      </c>
      <c r="P351" s="252">
        <v>71651.22</v>
      </c>
      <c r="Q351" s="101" t="b">
        <f t="shared" si="85"/>
        <v>1</v>
      </c>
      <c r="R351" s="101" t="b">
        <f t="shared" si="86"/>
        <v>1</v>
      </c>
      <c r="S351" s="101" t="b">
        <f t="shared" si="87"/>
        <v>1</v>
      </c>
      <c r="T351" s="167">
        <f t="shared" si="88"/>
        <v>-186.17000000001281</v>
      </c>
      <c r="U351" s="167">
        <f t="shared" si="89"/>
        <v>-186.17000000001281</v>
      </c>
      <c r="V351" s="167">
        <f t="shared" si="90"/>
        <v>2474.0999999999913</v>
      </c>
    </row>
    <row r="352" spans="1:22" s="90" customFormat="1" ht="20.100000000000001" customHeight="1">
      <c r="A352" s="347"/>
      <c r="B352" s="178" t="s">
        <v>254</v>
      </c>
      <c r="C352" s="230" t="s">
        <v>356</v>
      </c>
      <c r="D352" s="230" t="s">
        <v>90</v>
      </c>
      <c r="E352" s="252">
        <f>E353</f>
        <v>72092.929999999993</v>
      </c>
      <c r="F352" s="252">
        <f>F353</f>
        <v>71397.23</v>
      </c>
      <c r="G352" s="252">
        <f>G353</f>
        <v>71509.119999999995</v>
      </c>
      <c r="H352" s="252">
        <v>72092.929999999993</v>
      </c>
      <c r="I352" s="252">
        <v>71397.23</v>
      </c>
      <c r="J352" s="252">
        <v>71651.22</v>
      </c>
      <c r="K352" s="178" t="s">
        <v>254</v>
      </c>
      <c r="L352" s="230" t="s">
        <v>356</v>
      </c>
      <c r="M352" s="230" t="s">
        <v>90</v>
      </c>
      <c r="N352" s="252">
        <v>72092.929999999993</v>
      </c>
      <c r="O352" s="252">
        <v>71397.23</v>
      </c>
      <c r="P352" s="252">
        <v>71651.22</v>
      </c>
      <c r="Q352" s="101" t="b">
        <f t="shared" si="85"/>
        <v>1</v>
      </c>
      <c r="R352" s="101" t="b">
        <f t="shared" si="86"/>
        <v>1</v>
      </c>
      <c r="S352" s="101" t="b">
        <f t="shared" si="87"/>
        <v>1</v>
      </c>
      <c r="T352" s="167">
        <f t="shared" si="88"/>
        <v>0</v>
      </c>
      <c r="U352" s="167">
        <f t="shared" si="89"/>
        <v>0</v>
      </c>
      <c r="V352" s="167">
        <f t="shared" si="90"/>
        <v>-142.10000000000582</v>
      </c>
    </row>
    <row r="353" spans="1:22" s="90" customFormat="1" ht="20.100000000000001" customHeight="1">
      <c r="A353" s="347"/>
      <c r="B353" s="178" t="s">
        <v>132</v>
      </c>
      <c r="C353" s="230" t="s">
        <v>356</v>
      </c>
      <c r="D353" s="230" t="s">
        <v>171</v>
      </c>
      <c r="E353" s="252">
        <f>'Вед-я стр-ра'!H597</f>
        <v>72092.929999999993</v>
      </c>
      <c r="F353" s="252">
        <f>'Вед-я стр-ра'!I597</f>
        <v>71397.23</v>
      </c>
      <c r="G353" s="252">
        <f>'Вед-я стр-ра'!J597</f>
        <v>71509.119999999995</v>
      </c>
      <c r="H353" s="252">
        <v>72092.929999999993</v>
      </c>
      <c r="I353" s="252">
        <v>71397.23</v>
      </c>
      <c r="J353" s="252">
        <v>71651.22</v>
      </c>
      <c r="K353" s="178" t="s">
        <v>132</v>
      </c>
      <c r="L353" s="230" t="s">
        <v>356</v>
      </c>
      <c r="M353" s="230" t="s">
        <v>171</v>
      </c>
      <c r="N353" s="252">
        <v>72092.929999999993</v>
      </c>
      <c r="O353" s="252">
        <v>71397.23</v>
      </c>
      <c r="P353" s="252">
        <v>71651.22</v>
      </c>
      <c r="Q353" s="101" t="b">
        <f t="shared" si="85"/>
        <v>1</v>
      </c>
      <c r="R353" s="101" t="b">
        <f t="shared" si="86"/>
        <v>1</v>
      </c>
      <c r="S353" s="101" t="b">
        <f t="shared" si="87"/>
        <v>1</v>
      </c>
      <c r="T353" s="167">
        <f t="shared" si="88"/>
        <v>0</v>
      </c>
      <c r="U353" s="167">
        <f t="shared" si="89"/>
        <v>0</v>
      </c>
      <c r="V353" s="167">
        <f t="shared" si="90"/>
        <v>-142.10000000000582</v>
      </c>
    </row>
    <row r="354" spans="1:22" s="90" customFormat="1" ht="20.100000000000001" customHeight="1">
      <c r="A354" s="347"/>
      <c r="B354" s="23" t="s">
        <v>1081</v>
      </c>
      <c r="C354" s="37" t="s">
        <v>1080</v>
      </c>
      <c r="D354" s="37" t="s">
        <v>90</v>
      </c>
      <c r="E354" s="252">
        <f>E355</f>
        <v>2655.79</v>
      </c>
      <c r="F354" s="252">
        <f>F355</f>
        <v>2655.79</v>
      </c>
      <c r="G354" s="252">
        <f>G355</f>
        <v>2616.1999999999998</v>
      </c>
      <c r="H354" s="252">
        <v>2841.96</v>
      </c>
      <c r="I354" s="252">
        <v>2841.96</v>
      </c>
      <c r="J354" s="252">
        <v>0</v>
      </c>
      <c r="K354" s="23" t="s">
        <v>1081</v>
      </c>
      <c r="L354" s="37" t="s">
        <v>1080</v>
      </c>
      <c r="M354" s="37" t="s">
        <v>90</v>
      </c>
      <c r="N354" s="252">
        <v>2841.96</v>
      </c>
      <c r="O354" s="252">
        <v>2841.96</v>
      </c>
      <c r="P354" s="252">
        <v>0</v>
      </c>
      <c r="Q354" s="101" t="b">
        <f t="shared" si="85"/>
        <v>1</v>
      </c>
      <c r="R354" s="101" t="b">
        <f t="shared" si="86"/>
        <v>1</v>
      </c>
      <c r="S354" s="101" t="b">
        <f t="shared" si="87"/>
        <v>1</v>
      </c>
      <c r="T354" s="167">
        <f t="shared" si="88"/>
        <v>-186.17000000000007</v>
      </c>
      <c r="U354" s="167">
        <f t="shared" si="89"/>
        <v>-186.17000000000007</v>
      </c>
      <c r="V354" s="167">
        <f t="shared" si="90"/>
        <v>2616.1999999999998</v>
      </c>
    </row>
    <row r="355" spans="1:22" s="90" customFormat="1" ht="20.100000000000001" customHeight="1">
      <c r="A355" s="347"/>
      <c r="B355" s="23" t="s">
        <v>132</v>
      </c>
      <c r="C355" s="37" t="s">
        <v>1080</v>
      </c>
      <c r="D355" s="37" t="s">
        <v>171</v>
      </c>
      <c r="E355" s="252">
        <f>'Вед-я стр-ра'!H599</f>
        <v>2655.79</v>
      </c>
      <c r="F355" s="252">
        <f>'Вед-я стр-ра'!I599</f>
        <v>2655.79</v>
      </c>
      <c r="G355" s="252">
        <f>'Вед-я стр-ра'!J599</f>
        <v>2616.1999999999998</v>
      </c>
      <c r="H355" s="252">
        <v>2841.96</v>
      </c>
      <c r="I355" s="252">
        <v>2841.96</v>
      </c>
      <c r="J355" s="252">
        <v>0</v>
      </c>
      <c r="K355" s="23" t="s">
        <v>132</v>
      </c>
      <c r="L355" s="37" t="s">
        <v>1080</v>
      </c>
      <c r="M355" s="37" t="s">
        <v>171</v>
      </c>
      <c r="N355" s="252">
        <v>2841.96</v>
      </c>
      <c r="O355" s="252">
        <v>2841.96</v>
      </c>
      <c r="P355" s="252">
        <v>0</v>
      </c>
      <c r="Q355" s="101" t="b">
        <f t="shared" si="85"/>
        <v>1</v>
      </c>
      <c r="R355" s="101" t="b">
        <f t="shared" si="86"/>
        <v>1</v>
      </c>
      <c r="S355" s="101" t="b">
        <f t="shared" si="87"/>
        <v>1</v>
      </c>
      <c r="T355" s="167">
        <f t="shared" si="88"/>
        <v>-186.17000000000007</v>
      </c>
      <c r="U355" s="167">
        <f t="shared" si="89"/>
        <v>-186.17000000000007</v>
      </c>
      <c r="V355" s="167">
        <f t="shared" si="90"/>
        <v>2616.1999999999998</v>
      </c>
    </row>
    <row r="356" spans="1:22" s="90" customFormat="1" ht="20.100000000000001" customHeight="1">
      <c r="A356" s="347"/>
      <c r="B356" s="178" t="s">
        <v>360</v>
      </c>
      <c r="C356" s="230" t="s">
        <v>358</v>
      </c>
      <c r="D356" s="230" t="s">
        <v>90</v>
      </c>
      <c r="E356" s="252">
        <f>E357</f>
        <v>86367.99</v>
      </c>
      <c r="F356" s="252">
        <f t="shared" ref="F356:G356" si="94">F357</f>
        <v>86389.53</v>
      </c>
      <c r="G356" s="252">
        <f t="shared" si="94"/>
        <v>86411.94</v>
      </c>
      <c r="H356" s="252">
        <v>86367.99</v>
      </c>
      <c r="I356" s="252">
        <v>86389.53</v>
      </c>
      <c r="J356" s="252">
        <v>86411.94</v>
      </c>
      <c r="K356" s="178" t="s">
        <v>360</v>
      </c>
      <c r="L356" s="230" t="s">
        <v>358</v>
      </c>
      <c r="M356" s="230" t="s">
        <v>90</v>
      </c>
      <c r="N356" s="252">
        <v>86367.99</v>
      </c>
      <c r="O356" s="252">
        <v>86389.53</v>
      </c>
      <c r="P356" s="252">
        <v>86411.94</v>
      </c>
      <c r="Q356" s="101" t="b">
        <f t="shared" si="85"/>
        <v>1</v>
      </c>
      <c r="R356" s="101" t="b">
        <f t="shared" si="86"/>
        <v>1</v>
      </c>
      <c r="S356" s="101" t="b">
        <f t="shared" si="87"/>
        <v>1</v>
      </c>
      <c r="T356" s="167">
        <f t="shared" si="88"/>
        <v>0</v>
      </c>
      <c r="U356" s="167">
        <f t="shared" si="89"/>
        <v>0</v>
      </c>
      <c r="V356" s="167">
        <f t="shared" si="90"/>
        <v>0</v>
      </c>
    </row>
    <row r="357" spans="1:22" s="90" customFormat="1" ht="20.100000000000001" customHeight="1">
      <c r="A357" s="347"/>
      <c r="B357" s="178" t="s">
        <v>254</v>
      </c>
      <c r="C357" s="230" t="s">
        <v>359</v>
      </c>
      <c r="D357" s="230" t="s">
        <v>90</v>
      </c>
      <c r="E357" s="252">
        <f>SUM(E358:E359)</f>
        <v>86367.99</v>
      </c>
      <c r="F357" s="252">
        <f>SUM(F358:F359)</f>
        <v>86389.53</v>
      </c>
      <c r="G357" s="252">
        <f>SUM(G358:G359)</f>
        <v>86411.94</v>
      </c>
      <c r="H357" s="252">
        <v>86367.99</v>
      </c>
      <c r="I357" s="252">
        <v>86389.53</v>
      </c>
      <c r="J357" s="252">
        <v>86411.94</v>
      </c>
      <c r="K357" s="178" t="s">
        <v>254</v>
      </c>
      <c r="L357" s="230" t="s">
        <v>359</v>
      </c>
      <c r="M357" s="230" t="s">
        <v>90</v>
      </c>
      <c r="N357" s="252">
        <v>86367.99</v>
      </c>
      <c r="O357" s="252">
        <v>86389.53</v>
      </c>
      <c r="P357" s="252">
        <v>86411.94</v>
      </c>
      <c r="Q357" s="101" t="b">
        <f t="shared" si="85"/>
        <v>1</v>
      </c>
      <c r="R357" s="101" t="b">
        <f t="shared" si="86"/>
        <v>1</v>
      </c>
      <c r="S357" s="101" t="b">
        <f t="shared" si="87"/>
        <v>1</v>
      </c>
      <c r="T357" s="167">
        <f t="shared" si="88"/>
        <v>0</v>
      </c>
      <c r="U357" s="167">
        <f t="shared" si="89"/>
        <v>0</v>
      </c>
      <c r="V357" s="167">
        <f t="shared" si="90"/>
        <v>0</v>
      </c>
    </row>
    <row r="358" spans="1:22" s="90" customFormat="1" ht="20.100000000000001" customHeight="1">
      <c r="A358" s="347"/>
      <c r="B358" s="178" t="s">
        <v>132</v>
      </c>
      <c r="C358" s="230" t="s">
        <v>359</v>
      </c>
      <c r="D358" s="230" t="s">
        <v>171</v>
      </c>
      <c r="E358" s="252">
        <f>'Вед-я стр-ра'!H602</f>
        <v>73281.320000000007</v>
      </c>
      <c r="F358" s="252">
        <f>'Вед-я стр-ра'!I602</f>
        <v>73302.86</v>
      </c>
      <c r="G358" s="252">
        <f>'Вед-я стр-ра'!J602</f>
        <v>73325.27</v>
      </c>
      <c r="H358" s="252">
        <v>73281.320000000007</v>
      </c>
      <c r="I358" s="252">
        <v>73302.86</v>
      </c>
      <c r="J358" s="252">
        <v>73325.27</v>
      </c>
      <c r="K358" s="178" t="s">
        <v>132</v>
      </c>
      <c r="L358" s="230" t="s">
        <v>359</v>
      </c>
      <c r="M358" s="230" t="s">
        <v>171</v>
      </c>
      <c r="N358" s="252">
        <v>73281.320000000007</v>
      </c>
      <c r="O358" s="252">
        <v>73302.86</v>
      </c>
      <c r="P358" s="252">
        <v>73325.27</v>
      </c>
      <c r="Q358" s="101" t="b">
        <f t="shared" si="85"/>
        <v>1</v>
      </c>
      <c r="R358" s="101" t="b">
        <f t="shared" si="86"/>
        <v>1</v>
      </c>
      <c r="S358" s="101" t="b">
        <f t="shared" si="87"/>
        <v>1</v>
      </c>
      <c r="T358" s="167">
        <f t="shared" si="88"/>
        <v>0</v>
      </c>
      <c r="U358" s="167">
        <f t="shared" si="89"/>
        <v>0</v>
      </c>
      <c r="V358" s="167">
        <f t="shared" si="90"/>
        <v>0</v>
      </c>
    </row>
    <row r="359" spans="1:22" s="90" customFormat="1" ht="20.100000000000001" customHeight="1">
      <c r="A359" s="347"/>
      <c r="B359" s="178" t="s">
        <v>133</v>
      </c>
      <c r="C359" s="230" t="s">
        <v>359</v>
      </c>
      <c r="D359" s="230">
        <v>620</v>
      </c>
      <c r="E359" s="252">
        <f>'Вед-я стр-ра'!H603</f>
        <v>13086.67</v>
      </c>
      <c r="F359" s="252">
        <f>'Вед-я стр-ра'!I603</f>
        <v>13086.67</v>
      </c>
      <c r="G359" s="252">
        <f>'Вед-я стр-ра'!J603</f>
        <v>13086.67</v>
      </c>
      <c r="H359" s="252">
        <v>13086.67</v>
      </c>
      <c r="I359" s="252">
        <v>13086.67</v>
      </c>
      <c r="J359" s="252">
        <v>13086.67</v>
      </c>
      <c r="K359" s="178" t="s">
        <v>133</v>
      </c>
      <c r="L359" s="230" t="s">
        <v>359</v>
      </c>
      <c r="M359" s="230">
        <v>620</v>
      </c>
      <c r="N359" s="252">
        <v>13086.67</v>
      </c>
      <c r="O359" s="252">
        <v>13086.67</v>
      </c>
      <c r="P359" s="252">
        <v>13086.67</v>
      </c>
      <c r="Q359" s="101" t="b">
        <f t="shared" si="85"/>
        <v>1</v>
      </c>
      <c r="R359" s="101" t="b">
        <f t="shared" si="86"/>
        <v>1</v>
      </c>
      <c r="S359" s="101" t="b">
        <f t="shared" si="87"/>
        <v>1</v>
      </c>
      <c r="T359" s="167">
        <f t="shared" si="88"/>
        <v>0</v>
      </c>
      <c r="U359" s="167">
        <f t="shared" si="89"/>
        <v>0</v>
      </c>
      <c r="V359" s="167">
        <f t="shared" si="90"/>
        <v>0</v>
      </c>
    </row>
    <row r="360" spans="1:22" s="90" customFormat="1" ht="20.100000000000001" customHeight="1">
      <c r="A360" s="347"/>
      <c r="B360" s="23" t="s">
        <v>1132</v>
      </c>
      <c r="C360" s="230" t="s">
        <v>361</v>
      </c>
      <c r="D360" s="230" t="s">
        <v>90</v>
      </c>
      <c r="E360" s="252">
        <f>E361</f>
        <v>1977.25</v>
      </c>
      <c r="F360" s="252">
        <f>F361</f>
        <v>1977.25</v>
      </c>
      <c r="G360" s="252">
        <f>G361</f>
        <v>1977.25</v>
      </c>
      <c r="H360" s="252">
        <v>1977.25</v>
      </c>
      <c r="I360" s="252">
        <v>1977.25</v>
      </c>
      <c r="J360" s="252">
        <v>1977.25</v>
      </c>
      <c r="K360" s="23" t="s">
        <v>1132</v>
      </c>
      <c r="L360" s="230" t="s">
        <v>361</v>
      </c>
      <c r="M360" s="230" t="s">
        <v>90</v>
      </c>
      <c r="N360" s="252">
        <v>1977.25</v>
      </c>
      <c r="O360" s="252">
        <v>1977.25</v>
      </c>
      <c r="P360" s="252">
        <v>1977.25</v>
      </c>
      <c r="Q360" s="101" t="b">
        <f t="shared" si="85"/>
        <v>1</v>
      </c>
      <c r="R360" s="101" t="b">
        <f t="shared" si="86"/>
        <v>1</v>
      </c>
      <c r="S360" s="101" t="b">
        <f t="shared" si="87"/>
        <v>1</v>
      </c>
      <c r="T360" s="167">
        <f t="shared" si="88"/>
        <v>0</v>
      </c>
      <c r="U360" s="167">
        <f t="shared" si="89"/>
        <v>0</v>
      </c>
      <c r="V360" s="167">
        <f t="shared" si="90"/>
        <v>0</v>
      </c>
    </row>
    <row r="361" spans="1:22" s="90" customFormat="1" ht="20.100000000000001" customHeight="1">
      <c r="A361" s="347"/>
      <c r="B361" s="23" t="s">
        <v>1131</v>
      </c>
      <c r="C361" s="230" t="s">
        <v>902</v>
      </c>
      <c r="D361" s="230" t="s">
        <v>90</v>
      </c>
      <c r="E361" s="252">
        <f>E362+E363</f>
        <v>1977.25</v>
      </c>
      <c r="F361" s="252">
        <f>F362+F363</f>
        <v>1977.25</v>
      </c>
      <c r="G361" s="252">
        <f>G362+G363</f>
        <v>1977.25</v>
      </c>
      <c r="H361" s="252">
        <v>1977.25</v>
      </c>
      <c r="I361" s="252">
        <v>1977.25</v>
      </c>
      <c r="J361" s="252">
        <v>1977.25</v>
      </c>
      <c r="K361" s="23" t="s">
        <v>1131</v>
      </c>
      <c r="L361" s="230" t="s">
        <v>902</v>
      </c>
      <c r="M361" s="230" t="s">
        <v>90</v>
      </c>
      <c r="N361" s="252">
        <v>1977.25</v>
      </c>
      <c r="O361" s="252">
        <v>1977.25</v>
      </c>
      <c r="P361" s="252">
        <v>1977.25</v>
      </c>
      <c r="Q361" s="101" t="b">
        <f t="shared" si="85"/>
        <v>1</v>
      </c>
      <c r="R361" s="101" t="b">
        <f t="shared" si="86"/>
        <v>1</v>
      </c>
      <c r="S361" s="101" t="b">
        <f t="shared" si="87"/>
        <v>1</v>
      </c>
      <c r="T361" s="167">
        <f t="shared" si="88"/>
        <v>0</v>
      </c>
      <c r="U361" s="167">
        <f t="shared" si="89"/>
        <v>0</v>
      </c>
      <c r="V361" s="167">
        <f t="shared" si="90"/>
        <v>0</v>
      </c>
    </row>
    <row r="362" spans="1:22" s="90" customFormat="1" ht="20.100000000000001" customHeight="1">
      <c r="A362" s="347"/>
      <c r="B362" s="178" t="s">
        <v>132</v>
      </c>
      <c r="C362" s="230" t="s">
        <v>902</v>
      </c>
      <c r="D362" s="230" t="s">
        <v>171</v>
      </c>
      <c r="E362" s="252">
        <f>'Вед-я стр-ра'!H523+'Вед-я стр-ра'!H606</f>
        <v>1897.25</v>
      </c>
      <c r="F362" s="252">
        <f>'Вед-я стр-ра'!I523+'Вед-я стр-ра'!I606</f>
        <v>1937.25</v>
      </c>
      <c r="G362" s="252">
        <f>'Вед-я стр-ра'!J523+'Вед-я стр-ра'!J606</f>
        <v>1937.25</v>
      </c>
      <c r="H362" s="252">
        <v>1897.25</v>
      </c>
      <c r="I362" s="252">
        <v>1937.25</v>
      </c>
      <c r="J362" s="252">
        <v>1937.25</v>
      </c>
      <c r="K362" s="178" t="s">
        <v>132</v>
      </c>
      <c r="L362" s="230" t="s">
        <v>902</v>
      </c>
      <c r="M362" s="230" t="s">
        <v>171</v>
      </c>
      <c r="N362" s="252">
        <v>1937.25</v>
      </c>
      <c r="O362" s="252">
        <v>1937.25</v>
      </c>
      <c r="P362" s="252">
        <v>1937.25</v>
      </c>
      <c r="Q362" s="101" t="b">
        <f t="shared" si="85"/>
        <v>1</v>
      </c>
      <c r="R362" s="101" t="b">
        <f t="shared" si="86"/>
        <v>1</v>
      </c>
      <c r="S362" s="101" t="b">
        <f t="shared" si="87"/>
        <v>1</v>
      </c>
      <c r="T362" s="167">
        <f t="shared" si="88"/>
        <v>-40</v>
      </c>
      <c r="U362" s="167">
        <f t="shared" si="89"/>
        <v>0</v>
      </c>
      <c r="V362" s="167">
        <f t="shared" si="90"/>
        <v>0</v>
      </c>
    </row>
    <row r="363" spans="1:22" s="90" customFormat="1" ht="20.100000000000001" customHeight="1">
      <c r="A363" s="347"/>
      <c r="B363" s="178" t="s">
        <v>133</v>
      </c>
      <c r="C363" s="37" t="s">
        <v>902</v>
      </c>
      <c r="D363" s="37" t="s">
        <v>19</v>
      </c>
      <c r="E363" s="183">
        <f>'Вед-я стр-ра'!H607</f>
        <v>80</v>
      </c>
      <c r="F363" s="183">
        <f>'Вед-я стр-ра'!I607</f>
        <v>40</v>
      </c>
      <c r="G363" s="183">
        <f>'Вед-я стр-ра'!J607</f>
        <v>40</v>
      </c>
      <c r="H363" s="183">
        <v>80</v>
      </c>
      <c r="I363" s="183">
        <v>40</v>
      </c>
      <c r="J363" s="183">
        <v>40</v>
      </c>
      <c r="K363" s="178" t="s">
        <v>133</v>
      </c>
      <c r="L363" s="37" t="s">
        <v>902</v>
      </c>
      <c r="M363" s="37" t="s">
        <v>19</v>
      </c>
      <c r="N363" s="183">
        <v>40</v>
      </c>
      <c r="O363" s="183">
        <v>40</v>
      </c>
      <c r="P363" s="183">
        <v>40</v>
      </c>
      <c r="Q363" s="101" t="b">
        <f t="shared" si="85"/>
        <v>1</v>
      </c>
      <c r="R363" s="101" t="b">
        <f t="shared" si="86"/>
        <v>1</v>
      </c>
      <c r="S363" s="101" t="b">
        <f t="shared" si="87"/>
        <v>1</v>
      </c>
      <c r="T363" s="167">
        <f t="shared" si="88"/>
        <v>40</v>
      </c>
      <c r="U363" s="167">
        <f t="shared" si="89"/>
        <v>0</v>
      </c>
      <c r="V363" s="167">
        <f t="shared" si="90"/>
        <v>0</v>
      </c>
    </row>
    <row r="364" spans="1:22" s="90" customFormat="1" ht="20.100000000000001" customHeight="1">
      <c r="A364" s="347"/>
      <c r="B364" s="23" t="s">
        <v>906</v>
      </c>
      <c r="C364" s="230" t="s">
        <v>350</v>
      </c>
      <c r="D364" s="230" t="s">
        <v>90</v>
      </c>
      <c r="E364" s="252">
        <f>E365</f>
        <v>4993.91</v>
      </c>
      <c r="F364" s="252">
        <f t="shared" ref="F364:G364" si="95">F365</f>
        <v>300</v>
      </c>
      <c r="G364" s="252">
        <f t="shared" si="95"/>
        <v>300</v>
      </c>
      <c r="H364" s="252">
        <v>4993.91</v>
      </c>
      <c r="I364" s="252">
        <v>300</v>
      </c>
      <c r="J364" s="252">
        <v>300</v>
      </c>
      <c r="K364" s="23" t="s">
        <v>906</v>
      </c>
      <c r="L364" s="230" t="s">
        <v>350</v>
      </c>
      <c r="M364" s="230" t="s">
        <v>90</v>
      </c>
      <c r="N364" s="252">
        <v>4993.91</v>
      </c>
      <c r="O364" s="252">
        <v>300</v>
      </c>
      <c r="P364" s="252">
        <v>300</v>
      </c>
      <c r="Q364" s="101" t="b">
        <f t="shared" si="85"/>
        <v>1</v>
      </c>
      <c r="R364" s="101" t="b">
        <f t="shared" si="86"/>
        <v>1</v>
      </c>
      <c r="S364" s="101" t="b">
        <f t="shared" si="87"/>
        <v>1</v>
      </c>
      <c r="T364" s="167">
        <f t="shared" si="88"/>
        <v>0</v>
      </c>
      <c r="U364" s="167">
        <f t="shared" si="89"/>
        <v>0</v>
      </c>
      <c r="V364" s="167">
        <f t="shared" si="90"/>
        <v>0</v>
      </c>
    </row>
    <row r="365" spans="1:22" s="90" customFormat="1" ht="20.100000000000001" customHeight="1">
      <c r="A365" s="347"/>
      <c r="B365" s="178" t="s">
        <v>959</v>
      </c>
      <c r="C365" s="230" t="s">
        <v>901</v>
      </c>
      <c r="D365" s="230" t="s">
        <v>90</v>
      </c>
      <c r="E365" s="252">
        <f>E366</f>
        <v>4993.91</v>
      </c>
      <c r="F365" s="252">
        <f t="shared" ref="F365:G365" si="96">F366</f>
        <v>300</v>
      </c>
      <c r="G365" s="252">
        <f t="shared" si="96"/>
        <v>300</v>
      </c>
      <c r="H365" s="252">
        <v>4993.91</v>
      </c>
      <c r="I365" s="252">
        <v>300</v>
      </c>
      <c r="J365" s="252">
        <v>300</v>
      </c>
      <c r="K365" s="178" t="s">
        <v>959</v>
      </c>
      <c r="L365" s="230" t="s">
        <v>901</v>
      </c>
      <c r="M365" s="230" t="s">
        <v>90</v>
      </c>
      <c r="N365" s="252">
        <v>4993.91</v>
      </c>
      <c r="O365" s="252">
        <v>300</v>
      </c>
      <c r="P365" s="252">
        <v>300</v>
      </c>
      <c r="Q365" s="101" t="b">
        <f t="shared" si="85"/>
        <v>1</v>
      </c>
      <c r="R365" s="101" t="b">
        <f t="shared" si="86"/>
        <v>1</v>
      </c>
      <c r="S365" s="101" t="b">
        <f t="shared" si="87"/>
        <v>1</v>
      </c>
      <c r="T365" s="167">
        <f t="shared" si="88"/>
        <v>0</v>
      </c>
      <c r="U365" s="167">
        <f t="shared" si="89"/>
        <v>0</v>
      </c>
      <c r="V365" s="167">
        <f t="shared" si="90"/>
        <v>0</v>
      </c>
    </row>
    <row r="366" spans="1:22" s="90" customFormat="1" ht="20.100000000000001" customHeight="1">
      <c r="A366" s="347"/>
      <c r="B366" s="178" t="s">
        <v>132</v>
      </c>
      <c r="C366" s="230" t="s">
        <v>901</v>
      </c>
      <c r="D366" s="230" t="s">
        <v>171</v>
      </c>
      <c r="E366" s="252">
        <f>'Вед-я стр-ра'!H610+'Вед-я стр-ра'!H526</f>
        <v>4993.91</v>
      </c>
      <c r="F366" s="252">
        <f>'Вед-я стр-ра'!I610+'Вед-я стр-ра'!I526</f>
        <v>300</v>
      </c>
      <c r="G366" s="252">
        <f>'Вед-я стр-ра'!J610+'Вед-я стр-ра'!J526</f>
        <v>300</v>
      </c>
      <c r="H366" s="252">
        <v>4993.91</v>
      </c>
      <c r="I366" s="252">
        <v>300</v>
      </c>
      <c r="J366" s="252">
        <v>300</v>
      </c>
      <c r="K366" s="178" t="s">
        <v>132</v>
      </c>
      <c r="L366" s="230" t="s">
        <v>901</v>
      </c>
      <c r="M366" s="230" t="s">
        <v>171</v>
      </c>
      <c r="N366" s="252">
        <v>4993.91</v>
      </c>
      <c r="O366" s="252">
        <v>300</v>
      </c>
      <c r="P366" s="252">
        <v>300</v>
      </c>
      <c r="Q366" s="101" t="b">
        <f t="shared" si="85"/>
        <v>1</v>
      </c>
      <c r="R366" s="101" t="b">
        <f t="shared" si="86"/>
        <v>1</v>
      </c>
      <c r="S366" s="101" t="b">
        <f t="shared" si="87"/>
        <v>1</v>
      </c>
      <c r="T366" s="167">
        <f t="shared" si="88"/>
        <v>0</v>
      </c>
      <c r="U366" s="167">
        <f t="shared" si="89"/>
        <v>0</v>
      </c>
      <c r="V366" s="167">
        <f t="shared" si="90"/>
        <v>0</v>
      </c>
    </row>
    <row r="367" spans="1:22" s="90" customFormat="1" ht="20.100000000000001" customHeight="1">
      <c r="A367" s="347"/>
      <c r="B367" s="178" t="s">
        <v>354</v>
      </c>
      <c r="C367" s="230" t="s">
        <v>536</v>
      </c>
      <c r="D367" s="230" t="s">
        <v>90</v>
      </c>
      <c r="E367" s="252">
        <f>E368</f>
        <v>5011.68</v>
      </c>
      <c r="F367" s="252">
        <f t="shared" ref="F367:G367" si="97">F368</f>
        <v>5019.5</v>
      </c>
      <c r="G367" s="252">
        <f t="shared" si="97"/>
        <v>5027.6200000000008</v>
      </c>
      <c r="H367" s="252">
        <v>5011.68</v>
      </c>
      <c r="I367" s="252">
        <v>5019.5</v>
      </c>
      <c r="J367" s="252">
        <v>5027.6200000000008</v>
      </c>
      <c r="K367" s="178" t="s">
        <v>354</v>
      </c>
      <c r="L367" s="230" t="s">
        <v>536</v>
      </c>
      <c r="M367" s="230" t="s">
        <v>90</v>
      </c>
      <c r="N367" s="252">
        <v>5011.68</v>
      </c>
      <c r="O367" s="252">
        <v>5019.5</v>
      </c>
      <c r="P367" s="252">
        <v>5027.6200000000008</v>
      </c>
      <c r="Q367" s="101" t="b">
        <f t="shared" si="85"/>
        <v>1</v>
      </c>
      <c r="R367" s="101" t="b">
        <f t="shared" si="86"/>
        <v>1</v>
      </c>
      <c r="S367" s="101" t="b">
        <f t="shared" si="87"/>
        <v>1</v>
      </c>
      <c r="T367" s="167">
        <f t="shared" si="88"/>
        <v>0</v>
      </c>
      <c r="U367" s="167">
        <f t="shared" si="89"/>
        <v>0</v>
      </c>
      <c r="V367" s="167">
        <f t="shared" si="90"/>
        <v>0</v>
      </c>
    </row>
    <row r="368" spans="1:22" s="90" customFormat="1" ht="20.100000000000001" customHeight="1">
      <c r="A368" s="347"/>
      <c r="B368" s="178" t="s">
        <v>254</v>
      </c>
      <c r="C368" s="230" t="s">
        <v>907</v>
      </c>
      <c r="D368" s="230" t="s">
        <v>90</v>
      </c>
      <c r="E368" s="252">
        <f t="shared" ref="E368:G368" si="98">E369</f>
        <v>5011.68</v>
      </c>
      <c r="F368" s="252">
        <f t="shared" si="98"/>
        <v>5019.5</v>
      </c>
      <c r="G368" s="252">
        <f t="shared" si="98"/>
        <v>5027.6200000000008</v>
      </c>
      <c r="H368" s="252">
        <v>5011.68</v>
      </c>
      <c r="I368" s="252">
        <v>5019.5</v>
      </c>
      <c r="J368" s="252">
        <v>5027.6200000000008</v>
      </c>
      <c r="K368" s="178" t="s">
        <v>254</v>
      </c>
      <c r="L368" s="230" t="s">
        <v>907</v>
      </c>
      <c r="M368" s="230" t="s">
        <v>90</v>
      </c>
      <c r="N368" s="252">
        <v>5011.68</v>
      </c>
      <c r="O368" s="252">
        <v>5019.5</v>
      </c>
      <c r="P368" s="252">
        <v>5027.6200000000008</v>
      </c>
      <c r="Q368" s="101" t="b">
        <f t="shared" si="85"/>
        <v>1</v>
      </c>
      <c r="R368" s="101" t="b">
        <f t="shared" si="86"/>
        <v>1</v>
      </c>
      <c r="S368" s="101" t="b">
        <f t="shared" si="87"/>
        <v>1</v>
      </c>
      <c r="T368" s="167">
        <f t="shared" si="88"/>
        <v>0</v>
      </c>
      <c r="U368" s="167">
        <f t="shared" si="89"/>
        <v>0</v>
      </c>
      <c r="V368" s="167">
        <f t="shared" si="90"/>
        <v>0</v>
      </c>
    </row>
    <row r="369" spans="1:22" s="90" customFormat="1" ht="20.100000000000001" customHeight="1">
      <c r="A369" s="347"/>
      <c r="B369" s="178" t="s">
        <v>132</v>
      </c>
      <c r="C369" s="230" t="s">
        <v>907</v>
      </c>
      <c r="D369" s="230">
        <v>610</v>
      </c>
      <c r="E369" s="252">
        <f>'Вед-я стр-ра'!H613</f>
        <v>5011.68</v>
      </c>
      <c r="F369" s="252">
        <f>'Вед-я стр-ра'!I613</f>
        <v>5019.5</v>
      </c>
      <c r="G369" s="252">
        <f>'Вед-я стр-ра'!J613</f>
        <v>5027.6200000000008</v>
      </c>
      <c r="H369" s="252">
        <v>5011.68</v>
      </c>
      <c r="I369" s="252">
        <v>5019.5</v>
      </c>
      <c r="J369" s="252">
        <v>5027.6200000000008</v>
      </c>
      <c r="K369" s="178" t="s">
        <v>132</v>
      </c>
      <c r="L369" s="230" t="s">
        <v>907</v>
      </c>
      <c r="M369" s="230">
        <v>610</v>
      </c>
      <c r="N369" s="252">
        <v>5011.68</v>
      </c>
      <c r="O369" s="252">
        <v>5019.5</v>
      </c>
      <c r="P369" s="252">
        <v>5027.6200000000008</v>
      </c>
      <c r="Q369" s="101" t="b">
        <f t="shared" si="85"/>
        <v>1</v>
      </c>
      <c r="R369" s="101" t="b">
        <f t="shared" si="86"/>
        <v>1</v>
      </c>
      <c r="S369" s="101" t="b">
        <f t="shared" si="87"/>
        <v>1</v>
      </c>
      <c r="T369" s="167">
        <f t="shared" si="88"/>
        <v>0</v>
      </c>
      <c r="U369" s="167">
        <f t="shared" si="89"/>
        <v>0</v>
      </c>
      <c r="V369" s="167">
        <f t="shared" si="90"/>
        <v>0</v>
      </c>
    </row>
    <row r="370" spans="1:22" s="90" customFormat="1" ht="20.100000000000001" customHeight="1">
      <c r="A370" s="347"/>
      <c r="B370" s="182" t="s">
        <v>535</v>
      </c>
      <c r="C370" s="37" t="s">
        <v>537</v>
      </c>
      <c r="D370" s="37" t="s">
        <v>90</v>
      </c>
      <c r="E370" s="183">
        <f>E371</f>
        <v>1370.63</v>
      </c>
      <c r="F370" s="183">
        <f t="shared" ref="F370:G370" si="99">F371</f>
        <v>0</v>
      </c>
      <c r="G370" s="183">
        <f t="shared" si="99"/>
        <v>0</v>
      </c>
      <c r="H370" s="183">
        <v>1370.63</v>
      </c>
      <c r="I370" s="183">
        <v>0</v>
      </c>
      <c r="J370" s="183">
        <v>0</v>
      </c>
      <c r="K370" s="182" t="s">
        <v>535</v>
      </c>
      <c r="L370" s="37" t="s">
        <v>537</v>
      </c>
      <c r="M370" s="37" t="s">
        <v>90</v>
      </c>
      <c r="N370" s="183">
        <v>1370.63</v>
      </c>
      <c r="O370" s="183">
        <v>0</v>
      </c>
      <c r="P370" s="183">
        <v>0</v>
      </c>
      <c r="Q370" s="101" t="b">
        <f t="shared" si="85"/>
        <v>1</v>
      </c>
      <c r="R370" s="101" t="b">
        <f t="shared" si="86"/>
        <v>1</v>
      </c>
      <c r="S370" s="101" t="b">
        <f t="shared" si="87"/>
        <v>1</v>
      </c>
      <c r="T370" s="167">
        <f t="shared" si="88"/>
        <v>0</v>
      </c>
      <c r="U370" s="167">
        <f t="shared" si="89"/>
        <v>0</v>
      </c>
      <c r="V370" s="167">
        <f t="shared" si="90"/>
        <v>0</v>
      </c>
    </row>
    <row r="371" spans="1:22" s="90" customFormat="1" ht="20.100000000000001" customHeight="1">
      <c r="A371" s="347"/>
      <c r="B371" s="182" t="s">
        <v>999</v>
      </c>
      <c r="C371" s="37" t="s">
        <v>1006</v>
      </c>
      <c r="D371" s="36" t="s">
        <v>90</v>
      </c>
      <c r="E371" s="69">
        <f t="shared" ref="E371:G371" si="100">E372</f>
        <v>1370.63</v>
      </c>
      <c r="F371" s="69">
        <f t="shared" si="100"/>
        <v>0</v>
      </c>
      <c r="G371" s="69">
        <f t="shared" si="100"/>
        <v>0</v>
      </c>
      <c r="H371" s="69">
        <v>1370.63</v>
      </c>
      <c r="I371" s="69">
        <v>0</v>
      </c>
      <c r="J371" s="69">
        <v>0</v>
      </c>
      <c r="K371" s="182" t="s">
        <v>999</v>
      </c>
      <c r="L371" s="37" t="s">
        <v>1006</v>
      </c>
      <c r="M371" s="36" t="s">
        <v>90</v>
      </c>
      <c r="N371" s="69">
        <v>1370.63</v>
      </c>
      <c r="O371" s="69">
        <v>0</v>
      </c>
      <c r="P371" s="69">
        <v>0</v>
      </c>
      <c r="Q371" s="101" t="b">
        <f t="shared" si="85"/>
        <v>1</v>
      </c>
      <c r="R371" s="101" t="b">
        <f t="shared" si="86"/>
        <v>1</v>
      </c>
      <c r="S371" s="101" t="b">
        <f t="shared" si="87"/>
        <v>1</v>
      </c>
      <c r="T371" s="167">
        <f t="shared" si="88"/>
        <v>0</v>
      </c>
      <c r="U371" s="167">
        <f t="shared" si="89"/>
        <v>0</v>
      </c>
      <c r="V371" s="167">
        <f t="shared" si="90"/>
        <v>0</v>
      </c>
    </row>
    <row r="372" spans="1:22" s="90" customFormat="1" ht="20.100000000000001" customHeight="1">
      <c r="A372" s="347"/>
      <c r="B372" s="182" t="s">
        <v>145</v>
      </c>
      <c r="C372" s="37" t="s">
        <v>1006</v>
      </c>
      <c r="D372" s="36" t="s">
        <v>153</v>
      </c>
      <c r="E372" s="183">
        <f>'Вед-я стр-ра'!H1100</f>
        <v>1370.63</v>
      </c>
      <c r="F372" s="183">
        <f>'Вед-я стр-ра'!I1100</f>
        <v>0</v>
      </c>
      <c r="G372" s="183">
        <f>'Вед-я стр-ра'!J1100</f>
        <v>0</v>
      </c>
      <c r="H372" s="183">
        <v>1370.63</v>
      </c>
      <c r="I372" s="183">
        <v>0</v>
      </c>
      <c r="J372" s="183">
        <v>0</v>
      </c>
      <c r="K372" s="182" t="s">
        <v>145</v>
      </c>
      <c r="L372" s="37" t="s">
        <v>1006</v>
      </c>
      <c r="M372" s="36" t="s">
        <v>153</v>
      </c>
      <c r="N372" s="183">
        <v>1370.63</v>
      </c>
      <c r="O372" s="183">
        <v>0</v>
      </c>
      <c r="P372" s="183">
        <v>0</v>
      </c>
      <c r="Q372" s="101" t="b">
        <f t="shared" si="85"/>
        <v>1</v>
      </c>
      <c r="R372" s="101" t="b">
        <f t="shared" si="86"/>
        <v>1</v>
      </c>
      <c r="S372" s="101" t="b">
        <f t="shared" si="87"/>
        <v>1</v>
      </c>
      <c r="T372" s="167">
        <f t="shared" si="88"/>
        <v>0</v>
      </c>
      <c r="U372" s="167">
        <f t="shared" si="89"/>
        <v>0</v>
      </c>
      <c r="V372" s="167">
        <f t="shared" si="90"/>
        <v>0</v>
      </c>
    </row>
    <row r="373" spans="1:22" s="90" customFormat="1" ht="20.100000000000001" customHeight="1">
      <c r="A373" s="347"/>
      <c r="B373" s="182" t="s">
        <v>905</v>
      </c>
      <c r="C373" s="37" t="s">
        <v>903</v>
      </c>
      <c r="D373" s="37" t="s">
        <v>90</v>
      </c>
      <c r="E373" s="183">
        <f>E374+E376</f>
        <v>3324.09</v>
      </c>
      <c r="F373" s="183">
        <f>F374+F376</f>
        <v>0</v>
      </c>
      <c r="G373" s="183">
        <f>G374+G376</f>
        <v>0</v>
      </c>
      <c r="H373" s="183">
        <v>4695.47</v>
      </c>
      <c r="I373" s="183">
        <v>23764</v>
      </c>
      <c r="J373" s="183">
        <v>0</v>
      </c>
      <c r="K373" s="182" t="s">
        <v>905</v>
      </c>
      <c r="L373" s="37" t="s">
        <v>903</v>
      </c>
      <c r="M373" s="37" t="s">
        <v>90</v>
      </c>
      <c r="N373" s="183">
        <v>4695.47</v>
      </c>
      <c r="O373" s="183">
        <v>23764</v>
      </c>
      <c r="P373" s="183">
        <v>0</v>
      </c>
      <c r="Q373" s="101" t="b">
        <f t="shared" si="85"/>
        <v>1</v>
      </c>
      <c r="R373" s="101" t="b">
        <f t="shared" si="86"/>
        <v>1</v>
      </c>
      <c r="S373" s="101" t="b">
        <f t="shared" si="87"/>
        <v>1</v>
      </c>
      <c r="T373" s="167">
        <f t="shared" si="88"/>
        <v>-1371.38</v>
      </c>
      <c r="U373" s="167">
        <f t="shared" si="89"/>
        <v>-23764</v>
      </c>
      <c r="V373" s="167">
        <f t="shared" si="90"/>
        <v>0</v>
      </c>
    </row>
    <row r="374" spans="1:22" s="90" customFormat="1" ht="20.100000000000001" customHeight="1">
      <c r="A374" s="347"/>
      <c r="B374" s="182" t="s">
        <v>1079</v>
      </c>
      <c r="C374" s="37" t="s">
        <v>1078</v>
      </c>
      <c r="D374" s="37" t="s">
        <v>90</v>
      </c>
      <c r="E374" s="183">
        <f>E375</f>
        <v>0</v>
      </c>
      <c r="F374" s="183">
        <f>F375</f>
        <v>0</v>
      </c>
      <c r="G374" s="183">
        <f>G375</f>
        <v>0</v>
      </c>
      <c r="H374" s="183">
        <v>0</v>
      </c>
      <c r="I374" s="183">
        <v>23764</v>
      </c>
      <c r="J374" s="183">
        <v>0</v>
      </c>
      <c r="K374" s="182" t="s">
        <v>1079</v>
      </c>
      <c r="L374" s="37" t="s">
        <v>1078</v>
      </c>
      <c r="M374" s="37" t="s">
        <v>90</v>
      </c>
      <c r="N374" s="183">
        <v>0</v>
      </c>
      <c r="O374" s="183">
        <v>23764</v>
      </c>
      <c r="P374" s="183">
        <v>0</v>
      </c>
      <c r="Q374" s="101" t="b">
        <f t="shared" si="85"/>
        <v>1</v>
      </c>
      <c r="R374" s="101" t="b">
        <f t="shared" si="86"/>
        <v>1</v>
      </c>
      <c r="S374" s="101" t="b">
        <f t="shared" si="87"/>
        <v>1</v>
      </c>
      <c r="T374" s="167">
        <f t="shared" si="88"/>
        <v>0</v>
      </c>
      <c r="U374" s="167">
        <f t="shared" si="89"/>
        <v>-23764</v>
      </c>
      <c r="V374" s="167">
        <f t="shared" si="90"/>
        <v>0</v>
      </c>
    </row>
    <row r="375" spans="1:22" s="90" customFormat="1" ht="20.100000000000001" customHeight="1">
      <c r="A375" s="347"/>
      <c r="B375" s="23" t="s">
        <v>132</v>
      </c>
      <c r="C375" s="37" t="s">
        <v>1078</v>
      </c>
      <c r="D375" s="37" t="s">
        <v>171</v>
      </c>
      <c r="E375" s="183">
        <f>'Вед-я стр-ра'!H529</f>
        <v>0</v>
      </c>
      <c r="F375" s="183">
        <f>'Вед-я стр-ра'!I529</f>
        <v>0</v>
      </c>
      <c r="G375" s="183">
        <f>'Вед-я стр-ра'!J529</f>
        <v>0</v>
      </c>
      <c r="H375" s="183">
        <v>0</v>
      </c>
      <c r="I375" s="183">
        <v>23764</v>
      </c>
      <c r="J375" s="183">
        <v>0</v>
      </c>
      <c r="K375" s="23" t="s">
        <v>132</v>
      </c>
      <c r="L375" s="37" t="s">
        <v>1078</v>
      </c>
      <c r="M375" s="37" t="s">
        <v>171</v>
      </c>
      <c r="N375" s="183">
        <v>0</v>
      </c>
      <c r="O375" s="183">
        <v>23764</v>
      </c>
      <c r="P375" s="183"/>
      <c r="Q375" s="101" t="b">
        <f t="shared" si="85"/>
        <v>1</v>
      </c>
      <c r="R375" s="101" t="b">
        <f t="shared" si="86"/>
        <v>1</v>
      </c>
      <c r="S375" s="101" t="b">
        <f t="shared" si="87"/>
        <v>1</v>
      </c>
      <c r="T375" s="167">
        <f t="shared" si="88"/>
        <v>0</v>
      </c>
      <c r="U375" s="167">
        <f t="shared" si="89"/>
        <v>-23764</v>
      </c>
      <c r="V375" s="167">
        <f t="shared" si="90"/>
        <v>0</v>
      </c>
    </row>
    <row r="376" spans="1:22" s="90" customFormat="1" ht="20.100000000000001" customHeight="1">
      <c r="A376" s="347"/>
      <c r="B376" s="182" t="s">
        <v>1279</v>
      </c>
      <c r="C376" s="37" t="s">
        <v>1112</v>
      </c>
      <c r="D376" s="37" t="s">
        <v>90</v>
      </c>
      <c r="E376" s="183">
        <f>E377</f>
        <v>3324.09</v>
      </c>
      <c r="F376" s="183">
        <v>0</v>
      </c>
      <c r="G376" s="183">
        <v>0</v>
      </c>
      <c r="H376" s="183">
        <v>4695.47</v>
      </c>
      <c r="I376" s="183">
        <v>0</v>
      </c>
      <c r="J376" s="183">
        <v>0</v>
      </c>
      <c r="K376" s="182" t="s">
        <v>1113</v>
      </c>
      <c r="L376" s="37" t="s">
        <v>1112</v>
      </c>
      <c r="M376" s="37" t="s">
        <v>90</v>
      </c>
      <c r="N376" s="183">
        <v>4695.47</v>
      </c>
      <c r="O376" s="183">
        <v>0</v>
      </c>
      <c r="P376" s="183">
        <v>0</v>
      </c>
      <c r="Q376" s="101" t="b">
        <f t="shared" si="85"/>
        <v>0</v>
      </c>
      <c r="R376" s="101" t="b">
        <f t="shared" si="86"/>
        <v>1</v>
      </c>
      <c r="S376" s="101" t="b">
        <f t="shared" si="87"/>
        <v>1</v>
      </c>
      <c r="T376" s="167">
        <f t="shared" si="88"/>
        <v>-1371.38</v>
      </c>
      <c r="U376" s="167">
        <f t="shared" si="89"/>
        <v>0</v>
      </c>
      <c r="V376" s="167">
        <f t="shared" si="90"/>
        <v>0</v>
      </c>
    </row>
    <row r="377" spans="1:22" s="90" customFormat="1" ht="20.100000000000001" customHeight="1">
      <c r="A377" s="347"/>
      <c r="B377" s="23" t="s">
        <v>132</v>
      </c>
      <c r="C377" s="37" t="s">
        <v>1112</v>
      </c>
      <c r="D377" s="37" t="s">
        <v>171</v>
      </c>
      <c r="E377" s="183">
        <f>'Вед-я стр-ра'!H616</f>
        <v>3324.09</v>
      </c>
      <c r="F377" s="183">
        <f>'Вед-я стр-ра'!I616</f>
        <v>0</v>
      </c>
      <c r="G377" s="183">
        <f>'Вед-я стр-ра'!J616</f>
        <v>0</v>
      </c>
      <c r="H377" s="183">
        <v>4695.47</v>
      </c>
      <c r="I377" s="183">
        <v>0</v>
      </c>
      <c r="J377" s="183">
        <v>0</v>
      </c>
      <c r="K377" s="23" t="s">
        <v>132</v>
      </c>
      <c r="L377" s="37" t="s">
        <v>1112</v>
      </c>
      <c r="M377" s="37" t="s">
        <v>171</v>
      </c>
      <c r="N377" s="183">
        <v>4695.47</v>
      </c>
      <c r="O377" s="183">
        <v>0</v>
      </c>
      <c r="P377" s="183">
        <v>0</v>
      </c>
      <c r="Q377" s="101" t="b">
        <f t="shared" si="85"/>
        <v>1</v>
      </c>
      <c r="R377" s="101" t="b">
        <f t="shared" si="86"/>
        <v>1</v>
      </c>
      <c r="S377" s="101" t="b">
        <f t="shared" si="87"/>
        <v>1</v>
      </c>
      <c r="T377" s="167">
        <f t="shared" si="88"/>
        <v>-1371.38</v>
      </c>
      <c r="U377" s="167">
        <f t="shared" si="89"/>
        <v>0</v>
      </c>
      <c r="V377" s="167">
        <f t="shared" si="90"/>
        <v>0</v>
      </c>
    </row>
    <row r="378" spans="1:22" s="90" customFormat="1" ht="20.100000000000001" customHeight="1">
      <c r="A378" s="347"/>
      <c r="B378" s="182" t="s">
        <v>1145</v>
      </c>
      <c r="C378" s="37" t="s">
        <v>1142</v>
      </c>
      <c r="D378" s="37" t="s">
        <v>90</v>
      </c>
      <c r="E378" s="183">
        <f>E380</f>
        <v>1000</v>
      </c>
      <c r="F378" s="183">
        <f t="shared" ref="F378:G378" si="101">F379</f>
        <v>0</v>
      </c>
      <c r="G378" s="183">
        <f t="shared" si="101"/>
        <v>0</v>
      </c>
      <c r="H378" s="183">
        <v>1000</v>
      </c>
      <c r="I378" s="183">
        <v>0</v>
      </c>
      <c r="J378" s="183">
        <v>0</v>
      </c>
      <c r="K378" s="182" t="s">
        <v>1145</v>
      </c>
      <c r="L378" s="37" t="s">
        <v>1142</v>
      </c>
      <c r="M378" s="37" t="s">
        <v>90</v>
      </c>
      <c r="N378" s="183">
        <v>1000</v>
      </c>
      <c r="O378" s="183">
        <v>0</v>
      </c>
      <c r="P378" s="183">
        <v>0</v>
      </c>
      <c r="Q378" s="101" t="b">
        <f t="shared" si="85"/>
        <v>1</v>
      </c>
      <c r="R378" s="101" t="b">
        <f t="shared" si="86"/>
        <v>1</v>
      </c>
      <c r="S378" s="101" t="b">
        <f t="shared" si="87"/>
        <v>1</v>
      </c>
      <c r="T378" s="167">
        <f t="shared" si="88"/>
        <v>0</v>
      </c>
      <c r="U378" s="167">
        <f t="shared" si="89"/>
        <v>0</v>
      </c>
      <c r="V378" s="167">
        <f t="shared" si="90"/>
        <v>0</v>
      </c>
    </row>
    <row r="379" spans="1:22" s="90" customFormat="1" ht="20.100000000000001" customHeight="1">
      <c r="A379" s="347"/>
      <c r="B379" s="182" t="s">
        <v>1144</v>
      </c>
      <c r="C379" s="37" t="s">
        <v>1143</v>
      </c>
      <c r="D379" s="37" t="s">
        <v>90</v>
      </c>
      <c r="E379" s="183">
        <f>E380</f>
        <v>1000</v>
      </c>
      <c r="F379" s="183">
        <f t="shared" ref="F379:G379" si="102">F381</f>
        <v>0</v>
      </c>
      <c r="G379" s="183">
        <f t="shared" si="102"/>
        <v>0</v>
      </c>
      <c r="H379" s="183">
        <v>1000</v>
      </c>
      <c r="I379" s="183">
        <v>0</v>
      </c>
      <c r="J379" s="183">
        <v>0</v>
      </c>
      <c r="K379" s="182" t="s">
        <v>1144</v>
      </c>
      <c r="L379" s="37" t="s">
        <v>1143</v>
      </c>
      <c r="M379" s="37" t="s">
        <v>90</v>
      </c>
      <c r="N379" s="183">
        <v>1000</v>
      </c>
      <c r="O379" s="183">
        <v>0</v>
      </c>
      <c r="P379" s="183">
        <v>0</v>
      </c>
      <c r="Q379" s="101" t="b">
        <f t="shared" si="85"/>
        <v>1</v>
      </c>
      <c r="R379" s="101" t="b">
        <f t="shared" si="86"/>
        <v>1</v>
      </c>
      <c r="S379" s="101" t="b">
        <f t="shared" si="87"/>
        <v>1</v>
      </c>
      <c r="T379" s="167">
        <f t="shared" si="88"/>
        <v>0</v>
      </c>
      <c r="U379" s="167">
        <f t="shared" si="89"/>
        <v>0</v>
      </c>
      <c r="V379" s="167">
        <f t="shared" si="90"/>
        <v>0</v>
      </c>
    </row>
    <row r="380" spans="1:22" s="44" customFormat="1" ht="20.100000000000001" customHeight="1">
      <c r="A380" s="285"/>
      <c r="B380" s="23" t="s">
        <v>132</v>
      </c>
      <c r="C380" s="37" t="s">
        <v>1143</v>
      </c>
      <c r="D380" s="37" t="s">
        <v>171</v>
      </c>
      <c r="E380" s="183">
        <f>'Вед-я стр-ра'!H619</f>
        <v>1000</v>
      </c>
      <c r="F380" s="183"/>
      <c r="G380" s="183"/>
      <c r="H380" s="183">
        <v>1000</v>
      </c>
      <c r="I380" s="183"/>
      <c r="J380" s="183"/>
      <c r="K380" s="23" t="s">
        <v>132</v>
      </c>
      <c r="L380" s="37" t="s">
        <v>1143</v>
      </c>
      <c r="M380" s="37" t="s">
        <v>171</v>
      </c>
      <c r="N380" s="183">
        <v>1000</v>
      </c>
      <c r="O380" s="183"/>
      <c r="P380" s="183"/>
      <c r="Q380" s="101" t="b">
        <f t="shared" si="85"/>
        <v>1</v>
      </c>
      <c r="R380" s="101" t="b">
        <f t="shared" si="86"/>
        <v>1</v>
      </c>
      <c r="S380" s="101" t="b">
        <f t="shared" si="87"/>
        <v>1</v>
      </c>
      <c r="T380" s="167">
        <f t="shared" si="88"/>
        <v>0</v>
      </c>
      <c r="U380" s="167">
        <f t="shared" si="89"/>
        <v>0</v>
      </c>
      <c r="V380" s="167">
        <f t="shared" si="90"/>
        <v>0</v>
      </c>
    </row>
    <row r="381" spans="1:22" s="44" customFormat="1" ht="20.100000000000001" customHeight="1">
      <c r="A381" s="285"/>
      <c r="B381" s="23"/>
      <c r="C381" s="230"/>
      <c r="D381" s="230"/>
      <c r="E381" s="252"/>
      <c r="F381" s="252"/>
      <c r="G381" s="252"/>
      <c r="H381" s="252"/>
      <c r="I381" s="252"/>
      <c r="J381" s="252"/>
      <c r="K381" s="23"/>
      <c r="L381" s="230"/>
      <c r="M381" s="230"/>
      <c r="N381" s="252"/>
      <c r="O381" s="252"/>
      <c r="P381" s="252"/>
      <c r="Q381" s="101" t="b">
        <f t="shared" si="85"/>
        <v>1</v>
      </c>
      <c r="R381" s="101" t="b">
        <f t="shared" si="86"/>
        <v>1</v>
      </c>
      <c r="S381" s="101" t="b">
        <f t="shared" si="87"/>
        <v>1</v>
      </c>
      <c r="T381" s="167">
        <f t="shared" si="88"/>
        <v>0</v>
      </c>
      <c r="U381" s="167">
        <f t="shared" si="89"/>
        <v>0</v>
      </c>
      <c r="V381" s="167">
        <f t="shared" si="90"/>
        <v>0</v>
      </c>
    </row>
    <row r="382" spans="1:22" s="101" customFormat="1" ht="20.100000000000001" customHeight="1">
      <c r="A382" s="345"/>
      <c r="B382" s="232" t="s">
        <v>657</v>
      </c>
      <c r="C382" s="233" t="s">
        <v>400</v>
      </c>
      <c r="D382" s="233" t="s">
        <v>90</v>
      </c>
      <c r="E382" s="234">
        <f>E383+E398</f>
        <v>268989.83999999997</v>
      </c>
      <c r="F382" s="234">
        <f>F383+F398</f>
        <v>220931.34</v>
      </c>
      <c r="G382" s="234">
        <f>G383+G398</f>
        <v>221123.63999999998</v>
      </c>
      <c r="H382" s="234">
        <v>227761.44</v>
      </c>
      <c r="I382" s="234">
        <v>220931.34</v>
      </c>
      <c r="J382" s="234">
        <v>221123.63999999998</v>
      </c>
      <c r="K382" s="232" t="s">
        <v>657</v>
      </c>
      <c r="L382" s="233" t="s">
        <v>400</v>
      </c>
      <c r="M382" s="233" t="s">
        <v>90</v>
      </c>
      <c r="N382" s="234">
        <v>226121.44</v>
      </c>
      <c r="O382" s="234">
        <v>219291.34</v>
      </c>
      <c r="P382" s="234">
        <v>219483.63999999998</v>
      </c>
      <c r="Q382" s="101" t="b">
        <f t="shared" si="85"/>
        <v>1</v>
      </c>
      <c r="R382" s="101" t="b">
        <f t="shared" si="86"/>
        <v>1</v>
      </c>
      <c r="S382" s="101" t="b">
        <f t="shared" si="87"/>
        <v>1</v>
      </c>
      <c r="T382" s="167">
        <f t="shared" si="88"/>
        <v>42868.399999999965</v>
      </c>
      <c r="U382" s="167">
        <f t="shared" si="89"/>
        <v>1640</v>
      </c>
      <c r="V382" s="167">
        <f t="shared" si="90"/>
        <v>1640</v>
      </c>
    </row>
    <row r="383" spans="1:22" s="102" customFormat="1" ht="20.100000000000001" customHeight="1">
      <c r="A383" s="346"/>
      <c r="B383" s="241" t="s">
        <v>923</v>
      </c>
      <c r="C383" s="236" t="s">
        <v>401</v>
      </c>
      <c r="D383" s="236" t="s">
        <v>90</v>
      </c>
      <c r="E383" s="237">
        <f>E384+E387+E390+E393</f>
        <v>252910.37</v>
      </c>
      <c r="F383" s="237">
        <f>F384+F387+F390+F393</f>
        <v>211851.87</v>
      </c>
      <c r="G383" s="237">
        <f>G384+G387+G390+G393</f>
        <v>212044.16999999998</v>
      </c>
      <c r="H383" s="237">
        <v>211681.97</v>
      </c>
      <c r="I383" s="237">
        <v>211851.87</v>
      </c>
      <c r="J383" s="237">
        <v>212044.16999999998</v>
      </c>
      <c r="K383" s="241" t="s">
        <v>923</v>
      </c>
      <c r="L383" s="236" t="s">
        <v>401</v>
      </c>
      <c r="M383" s="236" t="s">
        <v>90</v>
      </c>
      <c r="N383" s="237">
        <v>210041.97</v>
      </c>
      <c r="O383" s="237">
        <v>210211.87</v>
      </c>
      <c r="P383" s="237">
        <v>210404.16999999998</v>
      </c>
      <c r="Q383" s="101" t="b">
        <f t="shared" si="85"/>
        <v>1</v>
      </c>
      <c r="R383" s="101" t="b">
        <f t="shared" si="86"/>
        <v>1</v>
      </c>
      <c r="S383" s="101" t="b">
        <f t="shared" si="87"/>
        <v>1</v>
      </c>
      <c r="T383" s="167">
        <f t="shared" si="88"/>
        <v>42868.399999999994</v>
      </c>
      <c r="U383" s="167">
        <f t="shared" si="89"/>
        <v>1640</v>
      </c>
      <c r="V383" s="167">
        <f t="shared" si="90"/>
        <v>1640</v>
      </c>
    </row>
    <row r="384" spans="1:22" s="90" customFormat="1" ht="20.100000000000001" customHeight="1">
      <c r="A384" s="347"/>
      <c r="B384" s="178" t="s">
        <v>924</v>
      </c>
      <c r="C384" s="230" t="s">
        <v>402</v>
      </c>
      <c r="D384" s="230" t="s">
        <v>90</v>
      </c>
      <c r="E384" s="252">
        <f>E385</f>
        <v>15960.18</v>
      </c>
      <c r="F384" s="252">
        <f t="shared" ref="F384:G384" si="103">F385</f>
        <v>16015.72</v>
      </c>
      <c r="G384" s="252">
        <f t="shared" si="103"/>
        <v>16050.72</v>
      </c>
      <c r="H384" s="252">
        <v>15960.18</v>
      </c>
      <c r="I384" s="252">
        <v>16015.72</v>
      </c>
      <c r="J384" s="252">
        <v>16050.72</v>
      </c>
      <c r="K384" s="178" t="s">
        <v>924</v>
      </c>
      <c r="L384" s="230" t="s">
        <v>402</v>
      </c>
      <c r="M384" s="230" t="s">
        <v>90</v>
      </c>
      <c r="N384" s="252">
        <v>15629.17</v>
      </c>
      <c r="O384" s="252">
        <v>15684.71</v>
      </c>
      <c r="P384" s="252">
        <v>15719.71</v>
      </c>
      <c r="Q384" s="101" t="b">
        <f t="shared" si="85"/>
        <v>1</v>
      </c>
      <c r="R384" s="101" t="b">
        <f t="shared" si="86"/>
        <v>1</v>
      </c>
      <c r="S384" s="101" t="b">
        <f t="shared" si="87"/>
        <v>1</v>
      </c>
      <c r="T384" s="167">
        <f t="shared" si="88"/>
        <v>331.01000000000022</v>
      </c>
      <c r="U384" s="167">
        <f t="shared" si="89"/>
        <v>331.01000000000022</v>
      </c>
      <c r="V384" s="167">
        <f t="shared" si="90"/>
        <v>331.01000000000022</v>
      </c>
    </row>
    <row r="385" spans="1:22" s="97" customFormat="1" ht="20.100000000000001" customHeight="1">
      <c r="A385" s="222"/>
      <c r="B385" s="178" t="s">
        <v>254</v>
      </c>
      <c r="C385" s="239" t="s">
        <v>403</v>
      </c>
      <c r="D385" s="239" t="s">
        <v>90</v>
      </c>
      <c r="E385" s="240">
        <f t="shared" ref="E385:G385" si="104">E386</f>
        <v>15960.18</v>
      </c>
      <c r="F385" s="240">
        <f t="shared" si="104"/>
        <v>16015.72</v>
      </c>
      <c r="G385" s="240">
        <f t="shared" si="104"/>
        <v>16050.72</v>
      </c>
      <c r="H385" s="240">
        <v>15960.18</v>
      </c>
      <c r="I385" s="240">
        <v>16015.72</v>
      </c>
      <c r="J385" s="240">
        <v>16050.72</v>
      </c>
      <c r="K385" s="178" t="s">
        <v>254</v>
      </c>
      <c r="L385" s="239" t="s">
        <v>403</v>
      </c>
      <c r="M385" s="239" t="s">
        <v>90</v>
      </c>
      <c r="N385" s="240">
        <v>15629.17</v>
      </c>
      <c r="O385" s="240">
        <v>15684.71</v>
      </c>
      <c r="P385" s="240">
        <v>15719.71</v>
      </c>
      <c r="Q385" s="101" t="b">
        <f t="shared" ref="Q385:Q450" si="105">B385=K385</f>
        <v>1</v>
      </c>
      <c r="R385" s="101" t="b">
        <f t="shared" ref="R385:R450" si="106">C385=L385</f>
        <v>1</v>
      </c>
      <c r="S385" s="101" t="b">
        <f t="shared" ref="S385:S450" si="107">D385=M385</f>
        <v>1</v>
      </c>
      <c r="T385" s="167">
        <f t="shared" ref="T385:T450" si="108">E385-N385</f>
        <v>331.01000000000022</v>
      </c>
      <c r="U385" s="167">
        <f t="shared" ref="U385:U450" si="109">F385-O385</f>
        <v>331.01000000000022</v>
      </c>
      <c r="V385" s="167">
        <f t="shared" ref="V385:V450" si="110">G385-P385</f>
        <v>331.01000000000022</v>
      </c>
    </row>
    <row r="386" spans="1:22" s="97" customFormat="1" ht="20.100000000000001" customHeight="1">
      <c r="A386" s="222"/>
      <c r="B386" s="178" t="s">
        <v>132</v>
      </c>
      <c r="C386" s="239" t="s">
        <v>403</v>
      </c>
      <c r="D386" s="239" t="s">
        <v>171</v>
      </c>
      <c r="E386" s="240">
        <f>'Вед-я стр-ра'!H825</f>
        <v>15960.18</v>
      </c>
      <c r="F386" s="240">
        <f>'Вед-я стр-ра'!I825</f>
        <v>16015.72</v>
      </c>
      <c r="G386" s="240">
        <f>'Вед-я стр-ра'!J825</f>
        <v>16050.72</v>
      </c>
      <c r="H386" s="240">
        <v>15960.18</v>
      </c>
      <c r="I386" s="240">
        <v>16015.72</v>
      </c>
      <c r="J386" s="240">
        <v>16050.72</v>
      </c>
      <c r="K386" s="178" t="s">
        <v>132</v>
      </c>
      <c r="L386" s="239" t="s">
        <v>403</v>
      </c>
      <c r="M386" s="239" t="s">
        <v>171</v>
      </c>
      <c r="N386" s="240">
        <v>15629.17</v>
      </c>
      <c r="O386" s="240">
        <v>15684.71</v>
      </c>
      <c r="P386" s="240">
        <v>15719.71</v>
      </c>
      <c r="Q386" s="101" t="b">
        <f t="shared" si="105"/>
        <v>1</v>
      </c>
      <c r="R386" s="101" t="b">
        <f t="shared" si="106"/>
        <v>1</v>
      </c>
      <c r="S386" s="101" t="b">
        <f t="shared" si="107"/>
        <v>1</v>
      </c>
      <c r="T386" s="167">
        <f t="shared" si="108"/>
        <v>331.01000000000022</v>
      </c>
      <c r="U386" s="167">
        <f t="shared" si="109"/>
        <v>331.01000000000022</v>
      </c>
      <c r="V386" s="167">
        <f t="shared" si="110"/>
        <v>331.01000000000022</v>
      </c>
    </row>
    <row r="387" spans="1:22" s="90" customFormat="1" ht="20.100000000000001" customHeight="1">
      <c r="A387" s="347"/>
      <c r="B387" s="178" t="s">
        <v>415</v>
      </c>
      <c r="C387" s="230" t="s">
        <v>416</v>
      </c>
      <c r="D387" s="230" t="s">
        <v>90</v>
      </c>
      <c r="E387" s="252">
        <f>E388</f>
        <v>4807.79</v>
      </c>
      <c r="F387" s="252">
        <f t="shared" ref="F387:G387" si="111">F388</f>
        <v>4812.79</v>
      </c>
      <c r="G387" s="252">
        <f t="shared" si="111"/>
        <v>4814.79</v>
      </c>
      <c r="H387" s="252">
        <v>4807.79</v>
      </c>
      <c r="I387" s="252">
        <v>4812.79</v>
      </c>
      <c r="J387" s="252">
        <v>4814.79</v>
      </c>
      <c r="K387" s="178" t="s">
        <v>415</v>
      </c>
      <c r="L387" s="230" t="s">
        <v>416</v>
      </c>
      <c r="M387" s="230" t="s">
        <v>90</v>
      </c>
      <c r="N387" s="252">
        <v>4694.95</v>
      </c>
      <c r="O387" s="252">
        <v>4699.95</v>
      </c>
      <c r="P387" s="252">
        <v>4701.95</v>
      </c>
      <c r="Q387" s="101" t="b">
        <f t="shared" si="105"/>
        <v>1</v>
      </c>
      <c r="R387" s="101" t="b">
        <f t="shared" si="106"/>
        <v>1</v>
      </c>
      <c r="S387" s="101" t="b">
        <f t="shared" si="107"/>
        <v>1</v>
      </c>
      <c r="T387" s="167">
        <f t="shared" si="108"/>
        <v>112.84000000000015</v>
      </c>
      <c r="U387" s="167">
        <f t="shared" si="109"/>
        <v>112.84000000000015</v>
      </c>
      <c r="V387" s="167">
        <f t="shared" si="110"/>
        <v>112.84000000000015</v>
      </c>
    </row>
    <row r="388" spans="1:22" s="97" customFormat="1" ht="20.100000000000001" customHeight="1">
      <c r="A388" s="222"/>
      <c r="B388" s="178" t="s">
        <v>254</v>
      </c>
      <c r="C388" s="239" t="s">
        <v>417</v>
      </c>
      <c r="D388" s="239" t="s">
        <v>90</v>
      </c>
      <c r="E388" s="240">
        <f t="shared" ref="E388:G388" si="112">E389</f>
        <v>4807.79</v>
      </c>
      <c r="F388" s="240">
        <f t="shared" si="112"/>
        <v>4812.79</v>
      </c>
      <c r="G388" s="240">
        <f t="shared" si="112"/>
        <v>4814.79</v>
      </c>
      <c r="H388" s="240">
        <v>4807.79</v>
      </c>
      <c r="I388" s="240">
        <v>4812.79</v>
      </c>
      <c r="J388" s="240">
        <v>4814.79</v>
      </c>
      <c r="K388" s="178" t="s">
        <v>254</v>
      </c>
      <c r="L388" s="239" t="s">
        <v>417</v>
      </c>
      <c r="M388" s="239" t="s">
        <v>90</v>
      </c>
      <c r="N388" s="240">
        <v>4694.95</v>
      </c>
      <c r="O388" s="240">
        <v>4699.95</v>
      </c>
      <c r="P388" s="240">
        <v>4701.95</v>
      </c>
      <c r="Q388" s="101" t="b">
        <f t="shared" si="105"/>
        <v>1</v>
      </c>
      <c r="R388" s="101" t="b">
        <f t="shared" si="106"/>
        <v>1</v>
      </c>
      <c r="S388" s="101" t="b">
        <f t="shared" si="107"/>
        <v>1</v>
      </c>
      <c r="T388" s="167">
        <f t="shared" si="108"/>
        <v>112.84000000000015</v>
      </c>
      <c r="U388" s="167">
        <f t="shared" si="109"/>
        <v>112.84000000000015</v>
      </c>
      <c r="V388" s="167">
        <f t="shared" si="110"/>
        <v>112.84000000000015</v>
      </c>
    </row>
    <row r="389" spans="1:22" s="97" customFormat="1" ht="20.100000000000001" customHeight="1">
      <c r="A389" s="222"/>
      <c r="B389" s="178" t="s">
        <v>132</v>
      </c>
      <c r="C389" s="239" t="s">
        <v>417</v>
      </c>
      <c r="D389" s="239" t="s">
        <v>171</v>
      </c>
      <c r="E389" s="240">
        <f>'Вед-я стр-ра'!H842</f>
        <v>4807.79</v>
      </c>
      <c r="F389" s="240">
        <f>'Вед-я стр-ра'!I842</f>
        <v>4812.79</v>
      </c>
      <c r="G389" s="240">
        <f>'Вед-я стр-ра'!J842</f>
        <v>4814.79</v>
      </c>
      <c r="H389" s="240">
        <v>4807.79</v>
      </c>
      <c r="I389" s="240">
        <v>4812.79</v>
      </c>
      <c r="J389" s="240">
        <v>4814.79</v>
      </c>
      <c r="K389" s="178" t="s">
        <v>132</v>
      </c>
      <c r="L389" s="239" t="s">
        <v>417</v>
      </c>
      <c r="M389" s="239" t="s">
        <v>171</v>
      </c>
      <c r="N389" s="240">
        <v>4694.95</v>
      </c>
      <c r="O389" s="240">
        <v>4699.95</v>
      </c>
      <c r="P389" s="240">
        <v>4701.95</v>
      </c>
      <c r="Q389" s="101" t="b">
        <f t="shared" si="105"/>
        <v>1</v>
      </c>
      <c r="R389" s="101" t="b">
        <f t="shared" si="106"/>
        <v>1</v>
      </c>
      <c r="S389" s="101" t="b">
        <f t="shared" si="107"/>
        <v>1</v>
      </c>
      <c r="T389" s="167">
        <f t="shared" si="108"/>
        <v>112.84000000000015</v>
      </c>
      <c r="U389" s="167">
        <f t="shared" si="109"/>
        <v>112.84000000000015</v>
      </c>
      <c r="V389" s="167">
        <f t="shared" si="110"/>
        <v>112.84000000000015</v>
      </c>
    </row>
    <row r="390" spans="1:22" s="97" customFormat="1" ht="20.100000000000001" customHeight="1">
      <c r="A390" s="222"/>
      <c r="B390" s="182" t="s">
        <v>925</v>
      </c>
      <c r="C390" s="239" t="s">
        <v>707</v>
      </c>
      <c r="D390" s="239" t="s">
        <v>90</v>
      </c>
      <c r="E390" s="240">
        <f t="shared" ref="E390:G391" si="113">E391</f>
        <v>13338.57</v>
      </c>
      <c r="F390" s="240">
        <f t="shared" si="113"/>
        <v>13338.57</v>
      </c>
      <c r="G390" s="240">
        <f t="shared" si="113"/>
        <v>13338.57</v>
      </c>
      <c r="H390" s="240">
        <v>13338.57</v>
      </c>
      <c r="I390" s="240">
        <v>13338.57</v>
      </c>
      <c r="J390" s="240">
        <v>13338.57</v>
      </c>
      <c r="K390" s="182" t="s">
        <v>925</v>
      </c>
      <c r="L390" s="239" t="s">
        <v>707</v>
      </c>
      <c r="M390" s="239" t="s">
        <v>90</v>
      </c>
      <c r="N390" s="240">
        <v>13338.57</v>
      </c>
      <c r="O390" s="240">
        <v>13338.57</v>
      </c>
      <c r="P390" s="240">
        <v>13338.57</v>
      </c>
      <c r="Q390" s="101" t="b">
        <f t="shared" si="105"/>
        <v>1</v>
      </c>
      <c r="R390" s="101" t="b">
        <f t="shared" si="106"/>
        <v>1</v>
      </c>
      <c r="S390" s="101" t="b">
        <f t="shared" si="107"/>
        <v>1</v>
      </c>
      <c r="T390" s="167">
        <f t="shared" si="108"/>
        <v>0</v>
      </c>
      <c r="U390" s="167">
        <f t="shared" si="109"/>
        <v>0</v>
      </c>
      <c r="V390" s="167">
        <f t="shared" si="110"/>
        <v>0</v>
      </c>
    </row>
    <row r="391" spans="1:22" s="97" customFormat="1" ht="20.100000000000001" customHeight="1">
      <c r="A391" s="222"/>
      <c r="B391" s="178" t="s">
        <v>254</v>
      </c>
      <c r="C391" s="239" t="s">
        <v>708</v>
      </c>
      <c r="D391" s="239" t="s">
        <v>90</v>
      </c>
      <c r="E391" s="240">
        <f t="shared" si="113"/>
        <v>13338.57</v>
      </c>
      <c r="F391" s="240">
        <f t="shared" si="113"/>
        <v>13338.57</v>
      </c>
      <c r="G391" s="240">
        <f t="shared" si="113"/>
        <v>13338.57</v>
      </c>
      <c r="H391" s="240">
        <v>13338.57</v>
      </c>
      <c r="I391" s="240">
        <v>13338.57</v>
      </c>
      <c r="J391" s="240">
        <v>13338.57</v>
      </c>
      <c r="K391" s="178" t="s">
        <v>254</v>
      </c>
      <c r="L391" s="239" t="s">
        <v>708</v>
      </c>
      <c r="M391" s="239" t="s">
        <v>90</v>
      </c>
      <c r="N391" s="240">
        <v>13338.57</v>
      </c>
      <c r="O391" s="240">
        <v>13338.57</v>
      </c>
      <c r="P391" s="240">
        <v>13338.57</v>
      </c>
      <c r="Q391" s="101" t="b">
        <f t="shared" si="105"/>
        <v>1</v>
      </c>
      <c r="R391" s="101" t="b">
        <f t="shared" si="106"/>
        <v>1</v>
      </c>
      <c r="S391" s="101" t="b">
        <f t="shared" si="107"/>
        <v>1</v>
      </c>
      <c r="T391" s="167">
        <f t="shared" si="108"/>
        <v>0</v>
      </c>
      <c r="U391" s="167">
        <f t="shared" si="109"/>
        <v>0</v>
      </c>
      <c r="V391" s="167">
        <f t="shared" si="110"/>
        <v>0</v>
      </c>
    </row>
    <row r="392" spans="1:22" s="97" customFormat="1" ht="20.100000000000001" customHeight="1">
      <c r="A392" s="222"/>
      <c r="B392" s="178" t="s">
        <v>132</v>
      </c>
      <c r="C392" s="239" t="s">
        <v>708</v>
      </c>
      <c r="D392" s="239" t="s">
        <v>171</v>
      </c>
      <c r="E392" s="240">
        <f>'Вед-я стр-ра'!H848</f>
        <v>13338.57</v>
      </c>
      <c r="F392" s="240">
        <f>'Вед-я стр-ра'!I848</f>
        <v>13338.57</v>
      </c>
      <c r="G392" s="240">
        <f>'Вед-я стр-ра'!J848</f>
        <v>13338.57</v>
      </c>
      <c r="H392" s="240">
        <v>13338.57</v>
      </c>
      <c r="I392" s="240">
        <v>13338.57</v>
      </c>
      <c r="J392" s="240">
        <v>13338.57</v>
      </c>
      <c r="K392" s="178" t="s">
        <v>132</v>
      </c>
      <c r="L392" s="239" t="s">
        <v>708</v>
      </c>
      <c r="M392" s="239" t="s">
        <v>171</v>
      </c>
      <c r="N392" s="240">
        <v>13338.57</v>
      </c>
      <c r="O392" s="240">
        <v>13338.57</v>
      </c>
      <c r="P392" s="240">
        <v>13338.57</v>
      </c>
      <c r="Q392" s="101" t="b">
        <f t="shared" si="105"/>
        <v>1</v>
      </c>
      <c r="R392" s="101" t="b">
        <f t="shared" si="106"/>
        <v>1</v>
      </c>
      <c r="S392" s="101" t="b">
        <f t="shared" si="107"/>
        <v>1</v>
      </c>
      <c r="T392" s="167">
        <f t="shared" si="108"/>
        <v>0</v>
      </c>
      <c r="U392" s="167">
        <f t="shared" si="109"/>
        <v>0</v>
      </c>
      <c r="V392" s="167">
        <f t="shared" si="110"/>
        <v>0</v>
      </c>
    </row>
    <row r="393" spans="1:22" s="97" customFormat="1" ht="20.100000000000001" customHeight="1">
      <c r="A393" s="222"/>
      <c r="B393" s="68" t="s">
        <v>926</v>
      </c>
      <c r="C393" s="239" t="s">
        <v>890</v>
      </c>
      <c r="D393" s="239" t="s">
        <v>90</v>
      </c>
      <c r="E393" s="240">
        <f>E394+E396</f>
        <v>218803.83</v>
      </c>
      <c r="F393" s="240">
        <f t="shared" ref="F393:G393" si="114">F394</f>
        <v>177684.79</v>
      </c>
      <c r="G393" s="240">
        <f t="shared" si="114"/>
        <v>177840.09</v>
      </c>
      <c r="H393" s="529">
        <v>177575.43</v>
      </c>
      <c r="I393" s="529">
        <v>177684.79</v>
      </c>
      <c r="J393" s="529">
        <v>177840.09</v>
      </c>
      <c r="K393" s="68" t="s">
        <v>926</v>
      </c>
      <c r="L393" s="239" t="s">
        <v>890</v>
      </c>
      <c r="M393" s="239" t="s">
        <v>90</v>
      </c>
      <c r="N393" s="240">
        <v>176379.28</v>
      </c>
      <c r="O393" s="240">
        <v>176488.64</v>
      </c>
      <c r="P393" s="240">
        <v>176643.94</v>
      </c>
      <c r="Q393" s="101" t="b">
        <f t="shared" si="105"/>
        <v>1</v>
      </c>
      <c r="R393" s="101" t="b">
        <f t="shared" si="106"/>
        <v>1</v>
      </c>
      <c r="S393" s="101" t="b">
        <f t="shared" si="107"/>
        <v>1</v>
      </c>
      <c r="T393" s="167">
        <f t="shared" si="108"/>
        <v>42424.549999999988</v>
      </c>
      <c r="U393" s="167">
        <f t="shared" si="109"/>
        <v>1196.1499999999942</v>
      </c>
      <c r="V393" s="167">
        <f t="shared" si="110"/>
        <v>1196.1499999999942</v>
      </c>
    </row>
    <row r="394" spans="1:22" s="97" customFormat="1" ht="20.100000000000001" customHeight="1">
      <c r="A394" s="222"/>
      <c r="B394" s="178" t="s">
        <v>254</v>
      </c>
      <c r="C394" s="239" t="s">
        <v>889</v>
      </c>
      <c r="D394" s="239" t="s">
        <v>90</v>
      </c>
      <c r="E394" s="240">
        <f t="shared" ref="E394:G394" si="115">E395</f>
        <v>177575.43</v>
      </c>
      <c r="F394" s="240">
        <f t="shared" si="115"/>
        <v>177684.79</v>
      </c>
      <c r="G394" s="240">
        <f t="shared" si="115"/>
        <v>177840.09</v>
      </c>
      <c r="H394" s="240">
        <v>177575.43</v>
      </c>
      <c r="I394" s="240">
        <v>177684.79</v>
      </c>
      <c r="J394" s="240">
        <v>177840.09</v>
      </c>
      <c r="K394" s="178" t="s">
        <v>254</v>
      </c>
      <c r="L394" s="239" t="s">
        <v>889</v>
      </c>
      <c r="M394" s="239" t="s">
        <v>90</v>
      </c>
      <c r="N394" s="240">
        <v>176379.28</v>
      </c>
      <c r="O394" s="240">
        <v>176488.64</v>
      </c>
      <c r="P394" s="240">
        <v>176643.94</v>
      </c>
      <c r="Q394" s="101" t="b">
        <f t="shared" si="105"/>
        <v>1</v>
      </c>
      <c r="R394" s="101" t="b">
        <f t="shared" si="106"/>
        <v>1</v>
      </c>
      <c r="S394" s="101" t="b">
        <f t="shared" si="107"/>
        <v>1</v>
      </c>
      <c r="T394" s="167">
        <f t="shared" si="108"/>
        <v>1196.1499999999942</v>
      </c>
      <c r="U394" s="167">
        <f t="shared" si="109"/>
        <v>1196.1499999999942</v>
      </c>
      <c r="V394" s="167">
        <f t="shared" si="110"/>
        <v>1196.1499999999942</v>
      </c>
    </row>
    <row r="395" spans="1:22" s="97" customFormat="1" ht="20.100000000000001" customHeight="1">
      <c r="A395" s="222"/>
      <c r="B395" s="178" t="s">
        <v>132</v>
      </c>
      <c r="C395" s="239" t="s">
        <v>889</v>
      </c>
      <c r="D395" s="239" t="s">
        <v>171</v>
      </c>
      <c r="E395" s="240">
        <f>'Вед-я стр-ра'!H851</f>
        <v>177575.43</v>
      </c>
      <c r="F395" s="240">
        <f>'Вед-я стр-ра'!I851</f>
        <v>177684.79</v>
      </c>
      <c r="G395" s="240">
        <f>'Вед-я стр-ра'!J851</f>
        <v>177840.09</v>
      </c>
      <c r="H395" s="240">
        <v>177575.43</v>
      </c>
      <c r="I395" s="240">
        <v>177684.79</v>
      </c>
      <c r="J395" s="240">
        <v>177840.09</v>
      </c>
      <c r="K395" s="178" t="s">
        <v>132</v>
      </c>
      <c r="L395" s="239" t="s">
        <v>889</v>
      </c>
      <c r="M395" s="239" t="s">
        <v>171</v>
      </c>
      <c r="N395" s="240">
        <v>176379.28</v>
      </c>
      <c r="O395" s="240">
        <v>176488.64</v>
      </c>
      <c r="P395" s="240">
        <v>176643.94</v>
      </c>
      <c r="Q395" s="101" t="b">
        <f t="shared" si="105"/>
        <v>1</v>
      </c>
      <c r="R395" s="101" t="b">
        <f t="shared" si="106"/>
        <v>1</v>
      </c>
      <c r="S395" s="101" t="b">
        <f t="shared" si="107"/>
        <v>1</v>
      </c>
      <c r="T395" s="167">
        <f t="shared" si="108"/>
        <v>1196.1499999999942</v>
      </c>
      <c r="U395" s="167">
        <f t="shared" si="109"/>
        <v>1196.1499999999942</v>
      </c>
      <c r="V395" s="167">
        <f t="shared" si="110"/>
        <v>1196.1499999999942</v>
      </c>
    </row>
    <row r="396" spans="1:22" s="97" customFormat="1" ht="20.100000000000001" customHeight="1">
      <c r="A396" s="222"/>
      <c r="B396" s="182" t="s">
        <v>1280</v>
      </c>
      <c r="C396" s="37" t="s">
        <v>1281</v>
      </c>
      <c r="D396" s="37" t="s">
        <v>90</v>
      </c>
      <c r="E396" s="183">
        <f>E397</f>
        <v>41228.400000000001</v>
      </c>
      <c r="F396" s="183">
        <f t="shared" ref="F396:G396" si="116">F397</f>
        <v>0</v>
      </c>
      <c r="G396" s="183">
        <f t="shared" si="116"/>
        <v>0</v>
      </c>
      <c r="H396" s="240"/>
      <c r="I396" s="240"/>
      <c r="J396" s="240"/>
      <c r="K396" s="178"/>
      <c r="L396" s="239"/>
      <c r="M396" s="239"/>
      <c r="N396" s="240"/>
      <c r="O396" s="240"/>
      <c r="P396" s="240"/>
      <c r="Q396" s="101"/>
      <c r="R396" s="101"/>
      <c r="S396" s="101"/>
      <c r="T396" s="167"/>
      <c r="U396" s="167"/>
      <c r="V396" s="167"/>
    </row>
    <row r="397" spans="1:22" s="97" customFormat="1" ht="20.100000000000001" customHeight="1">
      <c r="A397" s="222"/>
      <c r="B397" s="182" t="s">
        <v>132</v>
      </c>
      <c r="C397" s="37" t="s">
        <v>1281</v>
      </c>
      <c r="D397" s="37" t="s">
        <v>171</v>
      </c>
      <c r="E397" s="183">
        <f>'Вед-я стр-ра'!H878</f>
        <v>41228.400000000001</v>
      </c>
      <c r="F397" s="183">
        <v>0</v>
      </c>
      <c r="G397" s="183">
        <v>0</v>
      </c>
      <c r="H397" s="240"/>
      <c r="I397" s="240"/>
      <c r="J397" s="240"/>
      <c r="K397" s="178"/>
      <c r="L397" s="239"/>
      <c r="M397" s="239"/>
      <c r="N397" s="240"/>
      <c r="O397" s="240"/>
      <c r="P397" s="240"/>
      <c r="Q397" s="101"/>
      <c r="R397" s="101"/>
      <c r="S397" s="101"/>
      <c r="T397" s="167"/>
      <c r="U397" s="167"/>
      <c r="V397" s="167"/>
    </row>
    <row r="398" spans="1:22" s="102" customFormat="1" ht="20.100000000000001" customHeight="1">
      <c r="A398" s="346"/>
      <c r="B398" s="28" t="s">
        <v>927</v>
      </c>
      <c r="C398" s="236" t="s">
        <v>418</v>
      </c>
      <c r="D398" s="236" t="s">
        <v>90</v>
      </c>
      <c r="E398" s="237">
        <f>E399+E409+E403+E406</f>
        <v>16079.47</v>
      </c>
      <c r="F398" s="237">
        <f>F399+F409+F403+F406</f>
        <v>9079.4699999999993</v>
      </c>
      <c r="G398" s="237">
        <f>G399+G409+G403+G406</f>
        <v>9079.4699999999993</v>
      </c>
      <c r="H398" s="237">
        <v>16079.47</v>
      </c>
      <c r="I398" s="237">
        <v>9079.4699999999993</v>
      </c>
      <c r="J398" s="237">
        <v>9079.4699999999993</v>
      </c>
      <c r="K398" s="28" t="s">
        <v>927</v>
      </c>
      <c r="L398" s="236" t="s">
        <v>418</v>
      </c>
      <c r="M398" s="236" t="s">
        <v>90</v>
      </c>
      <c r="N398" s="237">
        <v>16079.47</v>
      </c>
      <c r="O398" s="237">
        <v>9079.4699999999993</v>
      </c>
      <c r="P398" s="237">
        <v>9079.4699999999993</v>
      </c>
      <c r="Q398" s="101" t="b">
        <f t="shared" si="105"/>
        <v>1</v>
      </c>
      <c r="R398" s="101" t="b">
        <f t="shared" si="106"/>
        <v>1</v>
      </c>
      <c r="S398" s="101" t="b">
        <f t="shared" si="107"/>
        <v>1</v>
      </c>
      <c r="T398" s="167">
        <f t="shared" si="108"/>
        <v>0</v>
      </c>
      <c r="U398" s="167">
        <f t="shared" si="109"/>
        <v>0</v>
      </c>
      <c r="V398" s="167">
        <f t="shared" si="110"/>
        <v>0</v>
      </c>
    </row>
    <row r="399" spans="1:22" s="90" customFormat="1" ht="20.100000000000001" customHeight="1">
      <c r="A399" s="347"/>
      <c r="B399" s="253" t="s">
        <v>534</v>
      </c>
      <c r="C399" s="230" t="s">
        <v>419</v>
      </c>
      <c r="D399" s="230" t="s">
        <v>90</v>
      </c>
      <c r="E399" s="252">
        <f>E400</f>
        <v>7013.7199999999993</v>
      </c>
      <c r="F399" s="252">
        <f>F400</f>
        <v>7013.7199999999993</v>
      </c>
      <c r="G399" s="252">
        <f>G400</f>
        <v>7013.7199999999993</v>
      </c>
      <c r="H399" s="252">
        <v>7013.7199999999993</v>
      </c>
      <c r="I399" s="252">
        <v>7013.7199999999993</v>
      </c>
      <c r="J399" s="252">
        <v>7013.7199999999993</v>
      </c>
      <c r="K399" s="253" t="s">
        <v>534</v>
      </c>
      <c r="L399" s="230" t="s">
        <v>419</v>
      </c>
      <c r="M399" s="230" t="s">
        <v>90</v>
      </c>
      <c r="N399" s="252">
        <v>7013.7199999999993</v>
      </c>
      <c r="O399" s="252">
        <v>7013.7199999999993</v>
      </c>
      <c r="P399" s="252">
        <v>7013.7199999999993</v>
      </c>
      <c r="Q399" s="101" t="b">
        <f t="shared" si="105"/>
        <v>1</v>
      </c>
      <c r="R399" s="101" t="b">
        <f t="shared" si="106"/>
        <v>1</v>
      </c>
      <c r="S399" s="101" t="b">
        <f t="shared" si="107"/>
        <v>1</v>
      </c>
      <c r="T399" s="167">
        <f t="shared" si="108"/>
        <v>0</v>
      </c>
      <c r="U399" s="167">
        <f t="shared" si="109"/>
        <v>0</v>
      </c>
      <c r="V399" s="167">
        <f t="shared" si="110"/>
        <v>0</v>
      </c>
    </row>
    <row r="400" spans="1:22" s="97" customFormat="1" ht="20.100000000000001" customHeight="1">
      <c r="A400" s="222"/>
      <c r="B400" s="253" t="s">
        <v>190</v>
      </c>
      <c r="C400" s="239" t="s">
        <v>420</v>
      </c>
      <c r="D400" s="239" t="s">
        <v>90</v>
      </c>
      <c r="E400" s="240">
        <f>E402+E401</f>
        <v>7013.7199999999993</v>
      </c>
      <c r="F400" s="240">
        <f>F402+F401</f>
        <v>7013.7199999999993</v>
      </c>
      <c r="G400" s="240">
        <f>G402+G401</f>
        <v>7013.7199999999993</v>
      </c>
      <c r="H400" s="240">
        <v>7013.7199999999993</v>
      </c>
      <c r="I400" s="240">
        <v>7013.7199999999993</v>
      </c>
      <c r="J400" s="240">
        <v>7013.7199999999993</v>
      </c>
      <c r="K400" s="253" t="s">
        <v>190</v>
      </c>
      <c r="L400" s="239" t="s">
        <v>420</v>
      </c>
      <c r="M400" s="239" t="s">
        <v>90</v>
      </c>
      <c r="N400" s="240">
        <v>7013.7199999999993</v>
      </c>
      <c r="O400" s="240">
        <v>7013.7199999999993</v>
      </c>
      <c r="P400" s="240">
        <v>7013.7199999999993</v>
      </c>
      <c r="Q400" s="101" t="b">
        <f t="shared" si="105"/>
        <v>1</v>
      </c>
      <c r="R400" s="101" t="b">
        <f t="shared" si="106"/>
        <v>1</v>
      </c>
      <c r="S400" s="101" t="b">
        <f t="shared" si="107"/>
        <v>1</v>
      </c>
      <c r="T400" s="167">
        <f t="shared" si="108"/>
        <v>0</v>
      </c>
      <c r="U400" s="167">
        <f t="shared" si="109"/>
        <v>0</v>
      </c>
      <c r="V400" s="167">
        <f t="shared" si="110"/>
        <v>0</v>
      </c>
    </row>
    <row r="401" spans="1:22" s="97" customFormat="1" ht="20.100000000000001" customHeight="1">
      <c r="A401" s="222"/>
      <c r="B401" s="253" t="s">
        <v>143</v>
      </c>
      <c r="C401" s="239" t="s">
        <v>420</v>
      </c>
      <c r="D401" s="239" t="s">
        <v>157</v>
      </c>
      <c r="E401" s="240">
        <f>'Вед-я стр-ра'!H855</f>
        <v>4997.7199999999993</v>
      </c>
      <c r="F401" s="240">
        <f>'Вед-я стр-ра'!I855</f>
        <v>4997.7199999999993</v>
      </c>
      <c r="G401" s="240">
        <f>'Вед-я стр-ра'!J855</f>
        <v>4997.7199999999993</v>
      </c>
      <c r="H401" s="240">
        <v>4997.7199999999993</v>
      </c>
      <c r="I401" s="240">
        <v>4997.7199999999993</v>
      </c>
      <c r="J401" s="240">
        <v>4997.7199999999993</v>
      </c>
      <c r="K401" s="253" t="s">
        <v>143</v>
      </c>
      <c r="L401" s="239" t="s">
        <v>420</v>
      </c>
      <c r="M401" s="239" t="s">
        <v>157</v>
      </c>
      <c r="N401" s="240">
        <v>4997.7199999999993</v>
      </c>
      <c r="O401" s="240">
        <v>4997.7199999999993</v>
      </c>
      <c r="P401" s="240">
        <v>4997.7199999999993</v>
      </c>
      <c r="Q401" s="101" t="b">
        <f t="shared" si="105"/>
        <v>1</v>
      </c>
      <c r="R401" s="101" t="b">
        <f t="shared" si="106"/>
        <v>1</v>
      </c>
      <c r="S401" s="101" t="b">
        <f t="shared" si="107"/>
        <v>1</v>
      </c>
      <c r="T401" s="167">
        <f t="shared" si="108"/>
        <v>0</v>
      </c>
      <c r="U401" s="167">
        <f t="shared" si="109"/>
        <v>0</v>
      </c>
      <c r="V401" s="167">
        <f t="shared" si="110"/>
        <v>0</v>
      </c>
    </row>
    <row r="402" spans="1:22" s="97" customFormat="1" ht="20.100000000000001" customHeight="1">
      <c r="A402" s="222"/>
      <c r="B402" s="253" t="s">
        <v>145</v>
      </c>
      <c r="C402" s="239" t="s">
        <v>420</v>
      </c>
      <c r="D402" s="239" t="s">
        <v>153</v>
      </c>
      <c r="E402" s="240">
        <f>'Вед-я стр-ра'!H856</f>
        <v>2016</v>
      </c>
      <c r="F402" s="240">
        <f>'Вед-я стр-ра'!I856</f>
        <v>2016</v>
      </c>
      <c r="G402" s="240">
        <f>'Вед-я стр-ра'!J856</f>
        <v>2016</v>
      </c>
      <c r="H402" s="240">
        <v>2016</v>
      </c>
      <c r="I402" s="240">
        <v>2016</v>
      </c>
      <c r="J402" s="240">
        <v>2016</v>
      </c>
      <c r="K402" s="253" t="s">
        <v>145</v>
      </c>
      <c r="L402" s="239" t="s">
        <v>420</v>
      </c>
      <c r="M402" s="239" t="s">
        <v>153</v>
      </c>
      <c r="N402" s="240">
        <v>2016</v>
      </c>
      <c r="O402" s="240">
        <v>2016</v>
      </c>
      <c r="P402" s="240">
        <v>2016</v>
      </c>
      <c r="Q402" s="101" t="b">
        <f t="shared" si="105"/>
        <v>1</v>
      </c>
      <c r="R402" s="101" t="b">
        <f t="shared" si="106"/>
        <v>1</v>
      </c>
      <c r="S402" s="101" t="b">
        <f t="shared" si="107"/>
        <v>1</v>
      </c>
      <c r="T402" s="167">
        <f t="shared" si="108"/>
        <v>0</v>
      </c>
      <c r="U402" s="167">
        <f t="shared" si="109"/>
        <v>0</v>
      </c>
      <c r="V402" s="167">
        <f t="shared" si="110"/>
        <v>0</v>
      </c>
    </row>
    <row r="403" spans="1:22" ht="20.100000000000001" customHeight="1">
      <c r="B403" s="23" t="s">
        <v>928</v>
      </c>
      <c r="C403" s="239" t="s">
        <v>709</v>
      </c>
      <c r="D403" s="239" t="s">
        <v>90</v>
      </c>
      <c r="E403" s="240">
        <f t="shared" ref="E403:G404" si="117">E404</f>
        <v>509.5</v>
      </c>
      <c r="F403" s="240">
        <f t="shared" si="117"/>
        <v>509.5</v>
      </c>
      <c r="G403" s="240">
        <f t="shared" si="117"/>
        <v>509.5</v>
      </c>
      <c r="H403" s="240">
        <v>509.5</v>
      </c>
      <c r="I403" s="240">
        <v>509.5</v>
      </c>
      <c r="J403" s="240">
        <v>509.5</v>
      </c>
      <c r="K403" s="23" t="s">
        <v>928</v>
      </c>
      <c r="L403" s="239" t="s">
        <v>709</v>
      </c>
      <c r="M403" s="239" t="s">
        <v>90</v>
      </c>
      <c r="N403" s="240">
        <v>509.5</v>
      </c>
      <c r="O403" s="240">
        <v>509.5</v>
      </c>
      <c r="P403" s="240">
        <v>509.5</v>
      </c>
      <c r="Q403" s="101" t="b">
        <f t="shared" si="105"/>
        <v>1</v>
      </c>
      <c r="R403" s="101" t="b">
        <f t="shared" si="106"/>
        <v>1</v>
      </c>
      <c r="S403" s="101" t="b">
        <f t="shared" si="107"/>
        <v>1</v>
      </c>
      <c r="T403" s="167">
        <f t="shared" si="108"/>
        <v>0</v>
      </c>
      <c r="U403" s="167">
        <f t="shared" si="109"/>
        <v>0</v>
      </c>
      <c r="V403" s="167">
        <f t="shared" si="110"/>
        <v>0</v>
      </c>
    </row>
    <row r="404" spans="1:22" ht="20.100000000000001" customHeight="1">
      <c r="B404" s="182" t="s">
        <v>754</v>
      </c>
      <c r="C404" s="239" t="s">
        <v>710</v>
      </c>
      <c r="D404" s="239" t="s">
        <v>90</v>
      </c>
      <c r="E404" s="240">
        <f t="shared" si="117"/>
        <v>509.5</v>
      </c>
      <c r="F404" s="240">
        <f t="shared" si="117"/>
        <v>509.5</v>
      </c>
      <c r="G404" s="240">
        <f t="shared" si="117"/>
        <v>509.5</v>
      </c>
      <c r="H404" s="240">
        <v>509.5</v>
      </c>
      <c r="I404" s="240">
        <v>509.5</v>
      </c>
      <c r="J404" s="240">
        <v>509.5</v>
      </c>
      <c r="K404" s="182" t="s">
        <v>754</v>
      </c>
      <c r="L404" s="239" t="s">
        <v>710</v>
      </c>
      <c r="M404" s="239" t="s">
        <v>90</v>
      </c>
      <c r="N404" s="240">
        <v>509.5</v>
      </c>
      <c r="O404" s="240">
        <v>509.5</v>
      </c>
      <c r="P404" s="240">
        <v>509.5</v>
      </c>
      <c r="Q404" s="101" t="b">
        <f t="shared" si="105"/>
        <v>1</v>
      </c>
      <c r="R404" s="101" t="b">
        <f t="shared" si="106"/>
        <v>1</v>
      </c>
      <c r="S404" s="101" t="b">
        <f t="shared" si="107"/>
        <v>1</v>
      </c>
      <c r="T404" s="167">
        <f t="shared" si="108"/>
        <v>0</v>
      </c>
      <c r="U404" s="167">
        <f t="shared" si="109"/>
        <v>0</v>
      </c>
      <c r="V404" s="167">
        <f t="shared" si="110"/>
        <v>0</v>
      </c>
    </row>
    <row r="405" spans="1:22" ht="20.100000000000001" customHeight="1">
      <c r="B405" s="178" t="s">
        <v>145</v>
      </c>
      <c r="C405" s="239" t="s">
        <v>710</v>
      </c>
      <c r="D405" s="239" t="s">
        <v>153</v>
      </c>
      <c r="E405" s="240">
        <f>'Вед-я стр-ра'!H859</f>
        <v>509.5</v>
      </c>
      <c r="F405" s="240">
        <f>'Вед-я стр-ра'!I859</f>
        <v>509.5</v>
      </c>
      <c r="G405" s="240">
        <f>'Вед-я стр-ра'!J859</f>
        <v>509.5</v>
      </c>
      <c r="H405" s="240">
        <v>509.5</v>
      </c>
      <c r="I405" s="240">
        <v>509.5</v>
      </c>
      <c r="J405" s="240">
        <v>509.5</v>
      </c>
      <c r="K405" s="178" t="s">
        <v>145</v>
      </c>
      <c r="L405" s="239" t="s">
        <v>710</v>
      </c>
      <c r="M405" s="239" t="s">
        <v>153</v>
      </c>
      <c r="N405" s="240">
        <v>509.5</v>
      </c>
      <c r="O405" s="240">
        <v>509.5</v>
      </c>
      <c r="P405" s="240">
        <v>509.5</v>
      </c>
      <c r="Q405" s="101" t="b">
        <f t="shared" si="105"/>
        <v>1</v>
      </c>
      <c r="R405" s="101" t="b">
        <f t="shared" si="106"/>
        <v>1</v>
      </c>
      <c r="S405" s="101" t="b">
        <f t="shared" si="107"/>
        <v>1</v>
      </c>
      <c r="T405" s="167">
        <f t="shared" si="108"/>
        <v>0</v>
      </c>
      <c r="U405" s="167">
        <f t="shared" si="109"/>
        <v>0</v>
      </c>
      <c r="V405" s="167">
        <f t="shared" si="110"/>
        <v>0</v>
      </c>
    </row>
    <row r="406" spans="1:22" ht="20.100000000000001" customHeight="1">
      <c r="B406" s="178" t="s">
        <v>711</v>
      </c>
      <c r="C406" s="239" t="s">
        <v>712</v>
      </c>
      <c r="D406" s="239" t="s">
        <v>90</v>
      </c>
      <c r="E406" s="240">
        <f t="shared" ref="E406:G407" si="118">E407</f>
        <v>56.25</v>
      </c>
      <c r="F406" s="240">
        <f t="shared" si="118"/>
        <v>56.25</v>
      </c>
      <c r="G406" s="240">
        <f t="shared" si="118"/>
        <v>56.25</v>
      </c>
      <c r="H406" s="240">
        <v>56.25</v>
      </c>
      <c r="I406" s="240">
        <v>56.25</v>
      </c>
      <c r="J406" s="240">
        <v>56.25</v>
      </c>
      <c r="K406" s="178" t="s">
        <v>711</v>
      </c>
      <c r="L406" s="239" t="s">
        <v>712</v>
      </c>
      <c r="M406" s="239" t="s">
        <v>90</v>
      </c>
      <c r="N406" s="240">
        <v>56.25</v>
      </c>
      <c r="O406" s="240">
        <v>56.25</v>
      </c>
      <c r="P406" s="240">
        <v>56.25</v>
      </c>
      <c r="Q406" s="101" t="b">
        <f t="shared" si="105"/>
        <v>1</v>
      </c>
      <c r="R406" s="101" t="b">
        <f t="shared" si="106"/>
        <v>1</v>
      </c>
      <c r="S406" s="101" t="b">
        <f t="shared" si="107"/>
        <v>1</v>
      </c>
      <c r="T406" s="167">
        <f t="shared" si="108"/>
        <v>0</v>
      </c>
      <c r="U406" s="167">
        <f t="shared" si="109"/>
        <v>0</v>
      </c>
      <c r="V406" s="167">
        <f t="shared" si="110"/>
        <v>0</v>
      </c>
    </row>
    <row r="407" spans="1:22" ht="20.100000000000001" customHeight="1">
      <c r="B407" s="178" t="s">
        <v>755</v>
      </c>
      <c r="C407" s="37" t="s">
        <v>770</v>
      </c>
      <c r="D407" s="239" t="s">
        <v>90</v>
      </c>
      <c r="E407" s="240">
        <f t="shared" si="118"/>
        <v>56.25</v>
      </c>
      <c r="F407" s="240">
        <f t="shared" si="118"/>
        <v>56.25</v>
      </c>
      <c r="G407" s="240">
        <f t="shared" si="118"/>
        <v>56.25</v>
      </c>
      <c r="H407" s="240">
        <v>56.25</v>
      </c>
      <c r="I407" s="240">
        <v>56.25</v>
      </c>
      <c r="J407" s="240">
        <v>56.25</v>
      </c>
      <c r="K407" s="178" t="s">
        <v>755</v>
      </c>
      <c r="L407" s="37" t="s">
        <v>770</v>
      </c>
      <c r="M407" s="239" t="s">
        <v>90</v>
      </c>
      <c r="N407" s="240">
        <v>56.25</v>
      </c>
      <c r="O407" s="240">
        <v>56.25</v>
      </c>
      <c r="P407" s="240">
        <v>56.25</v>
      </c>
      <c r="Q407" s="101" t="b">
        <f t="shared" si="105"/>
        <v>1</v>
      </c>
      <c r="R407" s="101" t="b">
        <f t="shared" si="106"/>
        <v>1</v>
      </c>
      <c r="S407" s="101" t="b">
        <f t="shared" si="107"/>
        <v>1</v>
      </c>
      <c r="T407" s="167">
        <f t="shared" si="108"/>
        <v>0</v>
      </c>
      <c r="U407" s="167">
        <f t="shared" si="109"/>
        <v>0</v>
      </c>
      <c r="V407" s="167">
        <f t="shared" si="110"/>
        <v>0</v>
      </c>
    </row>
    <row r="408" spans="1:22" ht="20.100000000000001" customHeight="1">
      <c r="B408" s="178" t="s">
        <v>145</v>
      </c>
      <c r="C408" s="37" t="s">
        <v>770</v>
      </c>
      <c r="D408" s="239" t="s">
        <v>153</v>
      </c>
      <c r="E408" s="240">
        <f>'Вед-я стр-ра'!H862</f>
        <v>56.25</v>
      </c>
      <c r="F408" s="240">
        <f>'Вед-я стр-ра'!I862</f>
        <v>56.25</v>
      </c>
      <c r="G408" s="240">
        <f>'Вед-я стр-ра'!J862</f>
        <v>56.25</v>
      </c>
      <c r="H408" s="240">
        <v>56.25</v>
      </c>
      <c r="I408" s="240">
        <v>56.25</v>
      </c>
      <c r="J408" s="240">
        <v>56.25</v>
      </c>
      <c r="K408" s="178" t="s">
        <v>145</v>
      </c>
      <c r="L408" s="37" t="s">
        <v>770</v>
      </c>
      <c r="M408" s="239" t="s">
        <v>153</v>
      </c>
      <c r="N408" s="240">
        <v>56.25</v>
      </c>
      <c r="O408" s="240">
        <v>56.25</v>
      </c>
      <c r="P408" s="240">
        <v>56.25</v>
      </c>
      <c r="Q408" s="101" t="b">
        <f t="shared" si="105"/>
        <v>1</v>
      </c>
      <c r="R408" s="101" t="b">
        <f t="shared" si="106"/>
        <v>1</v>
      </c>
      <c r="S408" s="101" t="b">
        <f t="shared" si="107"/>
        <v>1</v>
      </c>
      <c r="T408" s="167">
        <f t="shared" si="108"/>
        <v>0</v>
      </c>
      <c r="U408" s="167">
        <f t="shared" si="109"/>
        <v>0</v>
      </c>
      <c r="V408" s="167">
        <f t="shared" si="110"/>
        <v>0</v>
      </c>
    </row>
    <row r="409" spans="1:22" s="90" customFormat="1" ht="20.100000000000001" customHeight="1">
      <c r="A409" s="347"/>
      <c r="B409" s="182" t="s">
        <v>774</v>
      </c>
      <c r="C409" s="230" t="s">
        <v>530</v>
      </c>
      <c r="D409" s="230" t="s">
        <v>90</v>
      </c>
      <c r="E409" s="252">
        <f t="shared" ref="E409:F409" si="119">E410+E412</f>
        <v>8500</v>
      </c>
      <c r="F409" s="252">
        <f t="shared" si="119"/>
        <v>1500</v>
      </c>
      <c r="G409" s="252">
        <f t="shared" ref="G409" si="120">G410+G412</f>
        <v>1500</v>
      </c>
      <c r="H409" s="252">
        <v>8500</v>
      </c>
      <c r="I409" s="252">
        <v>1500</v>
      </c>
      <c r="J409" s="252">
        <v>1500</v>
      </c>
      <c r="K409" s="182" t="s">
        <v>774</v>
      </c>
      <c r="L409" s="230" t="s">
        <v>530</v>
      </c>
      <c r="M409" s="230" t="s">
        <v>90</v>
      </c>
      <c r="N409" s="252">
        <v>8500</v>
      </c>
      <c r="O409" s="252">
        <v>1500</v>
      </c>
      <c r="P409" s="252">
        <v>1500</v>
      </c>
      <c r="Q409" s="101" t="b">
        <f t="shared" si="105"/>
        <v>1</v>
      </c>
      <c r="R409" s="101" t="b">
        <f t="shared" si="106"/>
        <v>1</v>
      </c>
      <c r="S409" s="101" t="b">
        <f t="shared" si="107"/>
        <v>1</v>
      </c>
      <c r="T409" s="167">
        <f t="shared" si="108"/>
        <v>0</v>
      </c>
      <c r="U409" s="167">
        <f t="shared" si="109"/>
        <v>0</v>
      </c>
      <c r="V409" s="167">
        <f t="shared" si="110"/>
        <v>0</v>
      </c>
    </row>
    <row r="410" spans="1:22" s="97" customFormat="1" ht="20.100000000000001" customHeight="1">
      <c r="A410" s="222"/>
      <c r="B410" s="182" t="s">
        <v>765</v>
      </c>
      <c r="C410" s="239" t="s">
        <v>531</v>
      </c>
      <c r="D410" s="239" t="s">
        <v>90</v>
      </c>
      <c r="E410" s="240">
        <f t="shared" ref="E410:G410" si="121">E411</f>
        <v>1500</v>
      </c>
      <c r="F410" s="240">
        <f t="shared" si="121"/>
        <v>1500</v>
      </c>
      <c r="G410" s="240">
        <f t="shared" si="121"/>
        <v>1500</v>
      </c>
      <c r="H410" s="240">
        <v>1500</v>
      </c>
      <c r="I410" s="240">
        <v>1500</v>
      </c>
      <c r="J410" s="240">
        <v>1500</v>
      </c>
      <c r="K410" s="182" t="s">
        <v>765</v>
      </c>
      <c r="L410" s="239" t="s">
        <v>531</v>
      </c>
      <c r="M410" s="239" t="s">
        <v>90</v>
      </c>
      <c r="N410" s="240">
        <v>1500</v>
      </c>
      <c r="O410" s="240">
        <v>1500</v>
      </c>
      <c r="P410" s="240">
        <v>1500</v>
      </c>
      <c r="Q410" s="101" t="b">
        <f t="shared" si="105"/>
        <v>1</v>
      </c>
      <c r="R410" s="101" t="b">
        <f t="shared" si="106"/>
        <v>1</v>
      </c>
      <c r="S410" s="101" t="b">
        <f t="shared" si="107"/>
        <v>1</v>
      </c>
      <c r="T410" s="167">
        <f t="shared" si="108"/>
        <v>0</v>
      </c>
      <c r="U410" s="167">
        <f t="shared" si="109"/>
        <v>0</v>
      </c>
      <c r="V410" s="167">
        <f t="shared" si="110"/>
        <v>0</v>
      </c>
    </row>
    <row r="411" spans="1:22" s="97" customFormat="1" ht="20.100000000000001" customHeight="1">
      <c r="A411" s="222"/>
      <c r="B411" s="180" t="s">
        <v>148</v>
      </c>
      <c r="C411" s="239" t="s">
        <v>531</v>
      </c>
      <c r="D411" s="239" t="s">
        <v>142</v>
      </c>
      <c r="E411" s="240">
        <f>'Вед-я стр-ра'!H882</f>
        <v>1500</v>
      </c>
      <c r="F411" s="240">
        <f>'Вед-я стр-ра'!I882</f>
        <v>1500</v>
      </c>
      <c r="G411" s="240">
        <f>'Вед-я стр-ра'!J882</f>
        <v>1500</v>
      </c>
      <c r="H411" s="240">
        <v>1500</v>
      </c>
      <c r="I411" s="240">
        <v>1500</v>
      </c>
      <c r="J411" s="240">
        <v>1500</v>
      </c>
      <c r="K411" s="180" t="s">
        <v>148</v>
      </c>
      <c r="L411" s="239" t="s">
        <v>531</v>
      </c>
      <c r="M411" s="239" t="s">
        <v>142</v>
      </c>
      <c r="N411" s="240">
        <v>1500</v>
      </c>
      <c r="O411" s="240">
        <v>1500</v>
      </c>
      <c r="P411" s="240">
        <v>1500</v>
      </c>
      <c r="Q411" s="101" t="b">
        <f t="shared" si="105"/>
        <v>1</v>
      </c>
      <c r="R411" s="101" t="b">
        <f t="shared" si="106"/>
        <v>1</v>
      </c>
      <c r="S411" s="101" t="b">
        <f t="shared" si="107"/>
        <v>1</v>
      </c>
      <c r="T411" s="167">
        <f t="shared" si="108"/>
        <v>0</v>
      </c>
      <c r="U411" s="167">
        <f t="shared" si="109"/>
        <v>0</v>
      </c>
      <c r="V411" s="167">
        <f t="shared" si="110"/>
        <v>0</v>
      </c>
    </row>
    <row r="412" spans="1:22" s="97" customFormat="1" ht="20.100000000000001" customHeight="1">
      <c r="A412" s="222"/>
      <c r="B412" s="178" t="str">
        <f>'Вед-я стр-ра'!B883</f>
        <v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v>
      </c>
      <c r="C412" s="239" t="s">
        <v>1129</v>
      </c>
      <c r="D412" s="239" t="s">
        <v>90</v>
      </c>
      <c r="E412" s="240">
        <f t="shared" ref="E412:G412" si="122">E413</f>
        <v>7000</v>
      </c>
      <c r="F412" s="240">
        <f t="shared" si="122"/>
        <v>0</v>
      </c>
      <c r="G412" s="240">
        <f t="shared" si="122"/>
        <v>0</v>
      </c>
      <c r="H412" s="240">
        <v>7000</v>
      </c>
      <c r="I412" s="240">
        <v>0</v>
      </c>
      <c r="J412" s="240">
        <v>0</v>
      </c>
      <c r="K412" s="178" t="s">
        <v>1130</v>
      </c>
      <c r="L412" s="239" t="s">
        <v>1129</v>
      </c>
      <c r="M412" s="239" t="s">
        <v>90</v>
      </c>
      <c r="N412" s="240">
        <v>7000</v>
      </c>
      <c r="O412" s="240">
        <v>0</v>
      </c>
      <c r="P412" s="240">
        <v>0</v>
      </c>
      <c r="Q412" s="101" t="b">
        <f t="shared" si="105"/>
        <v>1</v>
      </c>
      <c r="R412" s="101" t="b">
        <f t="shared" si="106"/>
        <v>1</v>
      </c>
      <c r="S412" s="101" t="b">
        <f t="shared" si="107"/>
        <v>1</v>
      </c>
      <c r="T412" s="167">
        <f t="shared" si="108"/>
        <v>0</v>
      </c>
      <c r="U412" s="167">
        <f t="shared" si="109"/>
        <v>0</v>
      </c>
      <c r="V412" s="167">
        <f t="shared" si="110"/>
        <v>0</v>
      </c>
    </row>
    <row r="413" spans="1:22" s="97" customFormat="1" ht="20.100000000000001" customHeight="1">
      <c r="A413" s="222"/>
      <c r="B413" s="178" t="str">
        <f>'Вед-я стр-ра'!B884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413" s="239" t="s">
        <v>1129</v>
      </c>
      <c r="D413" s="239" t="s">
        <v>142</v>
      </c>
      <c r="E413" s="240">
        <f>'Вед-я стр-ра'!H884</f>
        <v>7000</v>
      </c>
      <c r="F413" s="240">
        <f>'Вед-я стр-ра'!I884</f>
        <v>0</v>
      </c>
      <c r="G413" s="240">
        <f>'Вед-я стр-ра'!J884</f>
        <v>0</v>
      </c>
      <c r="H413" s="240">
        <v>7000</v>
      </c>
      <c r="I413" s="240">
        <v>0</v>
      </c>
      <c r="J413" s="240">
        <v>0</v>
      </c>
      <c r="K413" s="178" t="s">
        <v>983</v>
      </c>
      <c r="L413" s="239" t="s">
        <v>1129</v>
      </c>
      <c r="M413" s="239" t="s">
        <v>142</v>
      </c>
      <c r="N413" s="240">
        <v>7000</v>
      </c>
      <c r="O413" s="240">
        <v>0</v>
      </c>
      <c r="P413" s="240">
        <v>0</v>
      </c>
      <c r="Q413" s="101" t="b">
        <f t="shared" si="105"/>
        <v>1</v>
      </c>
      <c r="R413" s="101" t="b">
        <f t="shared" si="106"/>
        <v>1</v>
      </c>
      <c r="S413" s="101" t="b">
        <f t="shared" si="107"/>
        <v>1</v>
      </c>
      <c r="T413" s="167">
        <f t="shared" si="108"/>
        <v>0</v>
      </c>
      <c r="U413" s="167">
        <f t="shared" si="109"/>
        <v>0</v>
      </c>
      <c r="V413" s="167">
        <f t="shared" si="110"/>
        <v>0</v>
      </c>
    </row>
    <row r="414" spans="1:22" s="103" customFormat="1" ht="20.100000000000001" customHeight="1">
      <c r="A414" s="350"/>
      <c r="B414" s="178"/>
      <c r="C414" s="230"/>
      <c r="D414" s="239"/>
      <c r="E414" s="240"/>
      <c r="F414" s="240"/>
      <c r="G414" s="240"/>
      <c r="H414" s="240"/>
      <c r="I414" s="240"/>
      <c r="J414" s="240"/>
      <c r="K414" s="178"/>
      <c r="L414" s="230"/>
      <c r="M414" s="239"/>
      <c r="N414" s="240"/>
      <c r="O414" s="240"/>
      <c r="P414" s="240"/>
      <c r="Q414" s="101" t="b">
        <f t="shared" si="105"/>
        <v>1</v>
      </c>
      <c r="R414" s="101" t="b">
        <f t="shared" si="106"/>
        <v>1</v>
      </c>
      <c r="S414" s="101" t="b">
        <f t="shared" si="107"/>
        <v>1</v>
      </c>
      <c r="T414" s="167">
        <f t="shared" si="108"/>
        <v>0</v>
      </c>
      <c r="U414" s="167">
        <f t="shared" si="109"/>
        <v>0</v>
      </c>
      <c r="V414" s="167">
        <f t="shared" si="110"/>
        <v>0</v>
      </c>
    </row>
    <row r="415" spans="1:22" s="101" customFormat="1" ht="20.100000000000001" customHeight="1">
      <c r="A415" s="345"/>
      <c r="B415" s="232" t="s">
        <v>658</v>
      </c>
      <c r="C415" s="233" t="s">
        <v>407</v>
      </c>
      <c r="D415" s="233" t="s">
        <v>90</v>
      </c>
      <c r="E415" s="234">
        <f>E416</f>
        <v>15928.61</v>
      </c>
      <c r="F415" s="234">
        <f>F416</f>
        <v>15930.279999999999</v>
      </c>
      <c r="G415" s="234">
        <f>G416</f>
        <v>15932.02</v>
      </c>
      <c r="H415" s="234">
        <v>15928.61</v>
      </c>
      <c r="I415" s="234">
        <v>15930.279999999999</v>
      </c>
      <c r="J415" s="234">
        <v>15932.02</v>
      </c>
      <c r="K415" s="232" t="s">
        <v>658</v>
      </c>
      <c r="L415" s="233" t="s">
        <v>407</v>
      </c>
      <c r="M415" s="233" t="s">
        <v>90</v>
      </c>
      <c r="N415" s="234">
        <v>15921.09</v>
      </c>
      <c r="O415" s="234">
        <v>15922.759999999998</v>
      </c>
      <c r="P415" s="234">
        <v>15924.5</v>
      </c>
      <c r="Q415" s="101" t="b">
        <f t="shared" si="105"/>
        <v>1</v>
      </c>
      <c r="R415" s="101" t="b">
        <f t="shared" si="106"/>
        <v>1</v>
      </c>
      <c r="S415" s="101" t="b">
        <f t="shared" si="107"/>
        <v>1</v>
      </c>
      <c r="T415" s="167">
        <f t="shared" si="108"/>
        <v>7.5200000000004366</v>
      </c>
      <c r="U415" s="167">
        <f t="shared" si="109"/>
        <v>7.5200000000004366</v>
      </c>
      <c r="V415" s="167">
        <f t="shared" si="110"/>
        <v>7.5200000000004366</v>
      </c>
    </row>
    <row r="416" spans="1:22" s="102" customFormat="1" ht="20.100000000000001" customHeight="1">
      <c r="A416" s="346"/>
      <c r="B416" s="28" t="s">
        <v>659</v>
      </c>
      <c r="C416" s="236" t="s">
        <v>408</v>
      </c>
      <c r="D416" s="236" t="s">
        <v>90</v>
      </c>
      <c r="E416" s="237">
        <f>E417+E420+E429+E426</f>
        <v>15928.61</v>
      </c>
      <c r="F416" s="237">
        <f>F417+F420+F429+F426</f>
        <v>15930.279999999999</v>
      </c>
      <c r="G416" s="237">
        <f>G417+G420+G429+G426</f>
        <v>15932.02</v>
      </c>
      <c r="H416" s="237">
        <v>15928.61</v>
      </c>
      <c r="I416" s="237">
        <v>15930.279999999999</v>
      </c>
      <c r="J416" s="237">
        <v>15932.02</v>
      </c>
      <c r="K416" s="28" t="s">
        <v>659</v>
      </c>
      <c r="L416" s="236" t="s">
        <v>408</v>
      </c>
      <c r="M416" s="236" t="s">
        <v>90</v>
      </c>
      <c r="N416" s="237">
        <v>15921.09</v>
      </c>
      <c r="O416" s="237">
        <v>15922.759999999998</v>
      </c>
      <c r="P416" s="237">
        <v>15924.5</v>
      </c>
      <c r="Q416" s="101" t="b">
        <f t="shared" si="105"/>
        <v>1</v>
      </c>
      <c r="R416" s="101" t="b">
        <f t="shared" si="106"/>
        <v>1</v>
      </c>
      <c r="S416" s="101" t="b">
        <f t="shared" si="107"/>
        <v>1</v>
      </c>
      <c r="T416" s="167">
        <f t="shared" si="108"/>
        <v>7.5200000000004366</v>
      </c>
      <c r="U416" s="167">
        <f t="shared" si="109"/>
        <v>7.5200000000004366</v>
      </c>
      <c r="V416" s="167">
        <f t="shared" si="110"/>
        <v>7.5200000000004366</v>
      </c>
    </row>
    <row r="417" spans="1:22" s="90" customFormat="1" ht="20.100000000000001" customHeight="1">
      <c r="A417" s="347"/>
      <c r="B417" s="178" t="s">
        <v>409</v>
      </c>
      <c r="C417" s="230" t="s">
        <v>410</v>
      </c>
      <c r="D417" s="230" t="s">
        <v>90</v>
      </c>
      <c r="E417" s="252">
        <f>E418</f>
        <v>852</v>
      </c>
      <c r="F417" s="252">
        <f>F418</f>
        <v>852</v>
      </c>
      <c r="G417" s="252">
        <f>G418</f>
        <v>852</v>
      </c>
      <c r="H417" s="252">
        <v>852</v>
      </c>
      <c r="I417" s="252">
        <v>852</v>
      </c>
      <c r="J417" s="252">
        <v>852</v>
      </c>
      <c r="K417" s="178" t="s">
        <v>409</v>
      </c>
      <c r="L417" s="230" t="s">
        <v>410</v>
      </c>
      <c r="M417" s="230" t="s">
        <v>90</v>
      </c>
      <c r="N417" s="252">
        <v>852</v>
      </c>
      <c r="O417" s="252">
        <v>852</v>
      </c>
      <c r="P417" s="252">
        <v>852</v>
      </c>
      <c r="Q417" s="101" t="b">
        <f t="shared" si="105"/>
        <v>1</v>
      </c>
      <c r="R417" s="101" t="b">
        <f t="shared" si="106"/>
        <v>1</v>
      </c>
      <c r="S417" s="101" t="b">
        <f t="shared" si="107"/>
        <v>1</v>
      </c>
      <c r="T417" s="167">
        <f t="shared" si="108"/>
        <v>0</v>
      </c>
      <c r="U417" s="167">
        <f t="shared" si="109"/>
        <v>0</v>
      </c>
      <c r="V417" s="167">
        <f t="shared" si="110"/>
        <v>0</v>
      </c>
    </row>
    <row r="418" spans="1:22" s="97" customFormat="1" ht="20.100000000000001" customHeight="1">
      <c r="A418" s="222"/>
      <c r="B418" s="178" t="s">
        <v>191</v>
      </c>
      <c r="C418" s="251" t="s">
        <v>411</v>
      </c>
      <c r="D418" s="239" t="s">
        <v>90</v>
      </c>
      <c r="E418" s="240">
        <f>SUM(E419:E419)</f>
        <v>852</v>
      </c>
      <c r="F418" s="240">
        <f>SUM(F419:F419)</f>
        <v>852</v>
      </c>
      <c r="G418" s="240">
        <f>SUM(G419:G419)</f>
        <v>852</v>
      </c>
      <c r="H418" s="240">
        <v>852</v>
      </c>
      <c r="I418" s="240">
        <v>852</v>
      </c>
      <c r="J418" s="240">
        <v>852</v>
      </c>
      <c r="K418" s="178" t="s">
        <v>191</v>
      </c>
      <c r="L418" s="251" t="s">
        <v>411</v>
      </c>
      <c r="M418" s="239" t="s">
        <v>90</v>
      </c>
      <c r="N418" s="240">
        <v>852</v>
      </c>
      <c r="O418" s="240">
        <v>852</v>
      </c>
      <c r="P418" s="240">
        <v>852</v>
      </c>
      <c r="Q418" s="101" t="b">
        <f t="shared" si="105"/>
        <v>1</v>
      </c>
      <c r="R418" s="101" t="b">
        <f t="shared" si="106"/>
        <v>1</v>
      </c>
      <c r="S418" s="101" t="b">
        <f t="shared" si="107"/>
        <v>1</v>
      </c>
      <c r="T418" s="167">
        <f t="shared" si="108"/>
        <v>0</v>
      </c>
      <c r="U418" s="167">
        <f t="shared" si="109"/>
        <v>0</v>
      </c>
      <c r="V418" s="167">
        <f t="shared" si="110"/>
        <v>0</v>
      </c>
    </row>
    <row r="419" spans="1:22" s="97" customFormat="1" ht="20.100000000000001" customHeight="1">
      <c r="A419" s="222"/>
      <c r="B419" s="180" t="s">
        <v>132</v>
      </c>
      <c r="C419" s="251" t="s">
        <v>411</v>
      </c>
      <c r="D419" s="239" t="s">
        <v>171</v>
      </c>
      <c r="E419" s="240">
        <f>'Вед-я стр-ра'!H552</f>
        <v>852</v>
      </c>
      <c r="F419" s="240">
        <f>'Вед-я стр-ра'!I552</f>
        <v>852</v>
      </c>
      <c r="G419" s="240">
        <f>'Вед-я стр-ра'!J552</f>
        <v>852</v>
      </c>
      <c r="H419" s="240">
        <v>852</v>
      </c>
      <c r="I419" s="240">
        <v>852</v>
      </c>
      <c r="J419" s="240">
        <v>852</v>
      </c>
      <c r="K419" s="180" t="s">
        <v>132</v>
      </c>
      <c r="L419" s="251" t="s">
        <v>411</v>
      </c>
      <c r="M419" s="239" t="s">
        <v>171</v>
      </c>
      <c r="N419" s="240">
        <v>852</v>
      </c>
      <c r="O419" s="240">
        <v>852</v>
      </c>
      <c r="P419" s="240">
        <v>852</v>
      </c>
      <c r="Q419" s="101" t="b">
        <f t="shared" si="105"/>
        <v>1</v>
      </c>
      <c r="R419" s="101" t="b">
        <f t="shared" si="106"/>
        <v>1</v>
      </c>
      <c r="S419" s="101" t="b">
        <f t="shared" si="107"/>
        <v>1</v>
      </c>
      <c r="T419" s="167">
        <f t="shared" si="108"/>
        <v>0</v>
      </c>
      <c r="U419" s="167">
        <f t="shared" si="109"/>
        <v>0</v>
      </c>
      <c r="V419" s="167">
        <f t="shared" si="110"/>
        <v>0</v>
      </c>
    </row>
    <row r="420" spans="1:22" s="90" customFormat="1" ht="20.100000000000001" customHeight="1">
      <c r="A420" s="347"/>
      <c r="B420" s="178" t="s">
        <v>412</v>
      </c>
      <c r="C420" s="230" t="s">
        <v>498</v>
      </c>
      <c r="D420" s="230" t="s">
        <v>90</v>
      </c>
      <c r="E420" s="252">
        <f>E421</f>
        <v>5062.04</v>
      </c>
      <c r="F420" s="252">
        <f>F421</f>
        <v>5062.04</v>
      </c>
      <c r="G420" s="252">
        <f>G421</f>
        <v>5062.04</v>
      </c>
      <c r="H420" s="252">
        <v>5062.04</v>
      </c>
      <c r="I420" s="252">
        <v>5062.04</v>
      </c>
      <c r="J420" s="252">
        <v>5062.04</v>
      </c>
      <c r="K420" s="178" t="s">
        <v>412</v>
      </c>
      <c r="L420" s="230" t="s">
        <v>498</v>
      </c>
      <c r="M420" s="230" t="s">
        <v>90</v>
      </c>
      <c r="N420" s="252">
        <v>5062.04</v>
      </c>
      <c r="O420" s="252">
        <v>5062.04</v>
      </c>
      <c r="P420" s="252">
        <v>5062.04</v>
      </c>
      <c r="Q420" s="101" t="b">
        <f t="shared" si="105"/>
        <v>1</v>
      </c>
      <c r="R420" s="101" t="b">
        <f t="shared" si="106"/>
        <v>1</v>
      </c>
      <c r="S420" s="101" t="b">
        <f t="shared" si="107"/>
        <v>1</v>
      </c>
      <c r="T420" s="167">
        <f t="shared" si="108"/>
        <v>0</v>
      </c>
      <c r="U420" s="167">
        <f t="shared" si="109"/>
        <v>0</v>
      </c>
      <c r="V420" s="167">
        <f t="shared" si="110"/>
        <v>0</v>
      </c>
    </row>
    <row r="421" spans="1:22" s="97" customFormat="1" ht="20.100000000000001" customHeight="1">
      <c r="A421" s="222"/>
      <c r="B421" s="178" t="s">
        <v>191</v>
      </c>
      <c r="C421" s="251" t="s">
        <v>413</v>
      </c>
      <c r="D421" s="239" t="s">
        <v>90</v>
      </c>
      <c r="E421" s="240">
        <f>SUM(E422:E425)</f>
        <v>5062.04</v>
      </c>
      <c r="F421" s="240">
        <f>SUM(F422:F425)</f>
        <v>5062.04</v>
      </c>
      <c r="G421" s="240">
        <f>SUM(G422:G425)</f>
        <v>5062.04</v>
      </c>
      <c r="H421" s="240">
        <v>5062.04</v>
      </c>
      <c r="I421" s="240">
        <v>5062.04</v>
      </c>
      <c r="J421" s="240">
        <v>5062.04</v>
      </c>
      <c r="K421" s="178" t="s">
        <v>191</v>
      </c>
      <c r="L421" s="251" t="s">
        <v>413</v>
      </c>
      <c r="M421" s="239" t="s">
        <v>90</v>
      </c>
      <c r="N421" s="240">
        <v>5062.04</v>
      </c>
      <c r="O421" s="240">
        <v>5062.04</v>
      </c>
      <c r="P421" s="240">
        <v>5062.04</v>
      </c>
      <c r="Q421" s="101" t="b">
        <f t="shared" si="105"/>
        <v>1</v>
      </c>
      <c r="R421" s="101" t="b">
        <f t="shared" si="106"/>
        <v>1</v>
      </c>
      <c r="S421" s="101" t="b">
        <f t="shared" si="107"/>
        <v>1</v>
      </c>
      <c r="T421" s="167">
        <f t="shared" si="108"/>
        <v>0</v>
      </c>
      <c r="U421" s="167">
        <f t="shared" si="109"/>
        <v>0</v>
      </c>
      <c r="V421" s="167">
        <f t="shared" si="110"/>
        <v>0</v>
      </c>
    </row>
    <row r="422" spans="1:22" s="97" customFormat="1" ht="20.100000000000001" customHeight="1">
      <c r="A422" s="222"/>
      <c r="B422" s="178" t="s">
        <v>145</v>
      </c>
      <c r="C422" s="251" t="s">
        <v>413</v>
      </c>
      <c r="D422" s="239" t="s">
        <v>153</v>
      </c>
      <c r="E422" s="240">
        <f>'Вед-я стр-ра'!H555</f>
        <v>549.04</v>
      </c>
      <c r="F422" s="240">
        <f>'Вед-я стр-ра'!I555</f>
        <v>549.04</v>
      </c>
      <c r="G422" s="240">
        <f>'Вед-я стр-ра'!J555</f>
        <v>549.04</v>
      </c>
      <c r="H422" s="240">
        <v>549.04</v>
      </c>
      <c r="I422" s="240">
        <v>549.04</v>
      </c>
      <c r="J422" s="240">
        <v>549.04</v>
      </c>
      <c r="K422" s="178" t="s">
        <v>145</v>
      </c>
      <c r="L422" s="251" t="s">
        <v>413</v>
      </c>
      <c r="M422" s="239" t="s">
        <v>153</v>
      </c>
      <c r="N422" s="240">
        <v>549.04</v>
      </c>
      <c r="O422" s="240">
        <v>549.04</v>
      </c>
      <c r="P422" s="240">
        <v>549.04</v>
      </c>
      <c r="Q422" s="101" t="b">
        <f t="shared" si="105"/>
        <v>1</v>
      </c>
      <c r="R422" s="101" t="b">
        <f t="shared" si="106"/>
        <v>1</v>
      </c>
      <c r="S422" s="101" t="b">
        <f t="shared" si="107"/>
        <v>1</v>
      </c>
      <c r="T422" s="167">
        <f t="shared" si="108"/>
        <v>0</v>
      </c>
      <c r="U422" s="167">
        <f t="shared" si="109"/>
        <v>0</v>
      </c>
      <c r="V422" s="167">
        <f t="shared" si="110"/>
        <v>0</v>
      </c>
    </row>
    <row r="423" spans="1:22" s="97" customFormat="1" ht="20.100000000000001" customHeight="1">
      <c r="A423" s="222"/>
      <c r="B423" s="180" t="s">
        <v>130</v>
      </c>
      <c r="C423" s="251" t="s">
        <v>413</v>
      </c>
      <c r="D423" s="239" t="s">
        <v>208</v>
      </c>
      <c r="E423" s="240">
        <f>'Вед-я стр-ра'!H556</f>
        <v>2970</v>
      </c>
      <c r="F423" s="240">
        <f>'Вед-я стр-ра'!I556</f>
        <v>2970</v>
      </c>
      <c r="G423" s="240">
        <f>'Вед-я стр-ра'!J556</f>
        <v>2970</v>
      </c>
      <c r="H423" s="240">
        <v>2970</v>
      </c>
      <c r="I423" s="240">
        <v>2970</v>
      </c>
      <c r="J423" s="240">
        <v>2970</v>
      </c>
      <c r="K423" s="180" t="s">
        <v>130</v>
      </c>
      <c r="L423" s="251" t="s">
        <v>413</v>
      </c>
      <c r="M423" s="239" t="s">
        <v>208</v>
      </c>
      <c r="N423" s="240">
        <v>2970</v>
      </c>
      <c r="O423" s="240">
        <v>2970</v>
      </c>
      <c r="P423" s="240">
        <v>2970</v>
      </c>
      <c r="Q423" s="101" t="b">
        <f t="shared" si="105"/>
        <v>1</v>
      </c>
      <c r="R423" s="101" t="b">
        <f t="shared" si="106"/>
        <v>1</v>
      </c>
      <c r="S423" s="101" t="b">
        <f t="shared" si="107"/>
        <v>1</v>
      </c>
      <c r="T423" s="167">
        <f t="shared" si="108"/>
        <v>0</v>
      </c>
      <c r="U423" s="167">
        <f t="shared" si="109"/>
        <v>0</v>
      </c>
      <c r="V423" s="167">
        <f t="shared" si="110"/>
        <v>0</v>
      </c>
    </row>
    <row r="424" spans="1:22" s="97" customFormat="1" ht="20.100000000000001" customHeight="1">
      <c r="A424" s="222"/>
      <c r="B424" s="180" t="s">
        <v>131</v>
      </c>
      <c r="C424" s="251" t="s">
        <v>413</v>
      </c>
      <c r="D424" s="239" t="s">
        <v>207</v>
      </c>
      <c r="E424" s="240">
        <f>'Вед-я стр-ра'!H557</f>
        <v>250</v>
      </c>
      <c r="F424" s="240">
        <f>'Вед-я стр-ра'!I557</f>
        <v>250</v>
      </c>
      <c r="G424" s="240">
        <f>'Вед-я стр-ра'!J557</f>
        <v>250</v>
      </c>
      <c r="H424" s="240">
        <v>250</v>
      </c>
      <c r="I424" s="240">
        <v>250</v>
      </c>
      <c r="J424" s="240">
        <v>250</v>
      </c>
      <c r="K424" s="180" t="s">
        <v>131</v>
      </c>
      <c r="L424" s="251" t="s">
        <v>413</v>
      </c>
      <c r="M424" s="239" t="s">
        <v>207</v>
      </c>
      <c r="N424" s="240">
        <v>250</v>
      </c>
      <c r="O424" s="240">
        <v>250</v>
      </c>
      <c r="P424" s="240">
        <v>250</v>
      </c>
      <c r="Q424" s="101" t="b">
        <f t="shared" si="105"/>
        <v>1</v>
      </c>
      <c r="R424" s="101" t="b">
        <f t="shared" si="106"/>
        <v>1</v>
      </c>
      <c r="S424" s="101" t="b">
        <f t="shared" si="107"/>
        <v>1</v>
      </c>
      <c r="T424" s="167">
        <f t="shared" si="108"/>
        <v>0</v>
      </c>
      <c r="U424" s="167">
        <f t="shared" si="109"/>
        <v>0</v>
      </c>
      <c r="V424" s="167">
        <f t="shared" si="110"/>
        <v>0</v>
      </c>
    </row>
    <row r="425" spans="1:22" s="97" customFormat="1" ht="20.100000000000001" customHeight="1">
      <c r="A425" s="222"/>
      <c r="B425" s="180" t="s">
        <v>132</v>
      </c>
      <c r="C425" s="251" t="s">
        <v>413</v>
      </c>
      <c r="D425" s="239" t="s">
        <v>171</v>
      </c>
      <c r="E425" s="240">
        <f>'Вед-я стр-ра'!H558</f>
        <v>1293</v>
      </c>
      <c r="F425" s="240">
        <f>'Вед-я стр-ра'!I558</f>
        <v>1293</v>
      </c>
      <c r="G425" s="240">
        <f>'Вед-я стр-ра'!J558</f>
        <v>1293</v>
      </c>
      <c r="H425" s="240">
        <v>1293</v>
      </c>
      <c r="I425" s="240">
        <v>1293</v>
      </c>
      <c r="J425" s="240">
        <v>1293</v>
      </c>
      <c r="K425" s="180" t="s">
        <v>132</v>
      </c>
      <c r="L425" s="251" t="s">
        <v>413</v>
      </c>
      <c r="M425" s="239" t="s">
        <v>171</v>
      </c>
      <c r="N425" s="240">
        <v>1293</v>
      </c>
      <c r="O425" s="240">
        <v>1293</v>
      </c>
      <c r="P425" s="240">
        <v>1293</v>
      </c>
      <c r="Q425" s="101" t="b">
        <f t="shared" si="105"/>
        <v>1</v>
      </c>
      <c r="R425" s="101" t="b">
        <f t="shared" si="106"/>
        <v>1</v>
      </c>
      <c r="S425" s="101" t="b">
        <f t="shared" si="107"/>
        <v>1</v>
      </c>
      <c r="T425" s="167">
        <f t="shared" si="108"/>
        <v>0</v>
      </c>
      <c r="U425" s="167">
        <f t="shared" si="109"/>
        <v>0</v>
      </c>
      <c r="V425" s="167">
        <f t="shared" si="110"/>
        <v>0</v>
      </c>
    </row>
    <row r="426" spans="1:22" s="97" customFormat="1" ht="20.100000000000001" customHeight="1">
      <c r="A426" s="222"/>
      <c r="B426" s="182" t="s">
        <v>993</v>
      </c>
      <c r="C426" s="37" t="s">
        <v>994</v>
      </c>
      <c r="D426" s="37" t="s">
        <v>90</v>
      </c>
      <c r="E426" s="252">
        <f>E427</f>
        <v>730</v>
      </c>
      <c r="F426" s="252">
        <f>F427</f>
        <v>730</v>
      </c>
      <c r="G426" s="252">
        <f>G427</f>
        <v>730</v>
      </c>
      <c r="H426" s="252">
        <v>730</v>
      </c>
      <c r="I426" s="252">
        <v>730</v>
      </c>
      <c r="J426" s="252">
        <v>730</v>
      </c>
      <c r="K426" s="182" t="s">
        <v>993</v>
      </c>
      <c r="L426" s="37" t="s">
        <v>994</v>
      </c>
      <c r="M426" s="37" t="s">
        <v>90</v>
      </c>
      <c r="N426" s="252">
        <v>730</v>
      </c>
      <c r="O426" s="252">
        <v>730</v>
      </c>
      <c r="P426" s="252">
        <v>730</v>
      </c>
      <c r="Q426" s="101" t="b">
        <f t="shared" si="105"/>
        <v>1</v>
      </c>
      <c r="R426" s="101" t="b">
        <f t="shared" si="106"/>
        <v>1</v>
      </c>
      <c r="S426" s="101" t="b">
        <f t="shared" si="107"/>
        <v>1</v>
      </c>
      <c r="T426" s="167">
        <f t="shared" si="108"/>
        <v>0</v>
      </c>
      <c r="U426" s="167">
        <f t="shared" si="109"/>
        <v>0</v>
      </c>
      <c r="V426" s="167">
        <f t="shared" si="110"/>
        <v>0</v>
      </c>
    </row>
    <row r="427" spans="1:22" s="97" customFormat="1" ht="20.100000000000001" customHeight="1">
      <c r="A427" s="222"/>
      <c r="B427" s="182" t="s">
        <v>191</v>
      </c>
      <c r="C427" s="37" t="s">
        <v>995</v>
      </c>
      <c r="D427" s="37" t="s">
        <v>90</v>
      </c>
      <c r="E427" s="240">
        <f>SUM(E428:E428)</f>
        <v>730</v>
      </c>
      <c r="F427" s="240">
        <f>SUM(F428:F428)</f>
        <v>730</v>
      </c>
      <c r="G427" s="240">
        <f>SUM(G428:G428)</f>
        <v>730</v>
      </c>
      <c r="H427" s="240">
        <v>730</v>
      </c>
      <c r="I427" s="240">
        <v>730</v>
      </c>
      <c r="J427" s="240">
        <v>730</v>
      </c>
      <c r="K427" s="182" t="s">
        <v>191</v>
      </c>
      <c r="L427" s="37" t="s">
        <v>995</v>
      </c>
      <c r="M427" s="37" t="s">
        <v>90</v>
      </c>
      <c r="N427" s="240">
        <v>730</v>
      </c>
      <c r="O427" s="240">
        <v>730</v>
      </c>
      <c r="P427" s="240">
        <v>730</v>
      </c>
      <c r="Q427" s="101" t="b">
        <f t="shared" si="105"/>
        <v>1</v>
      </c>
      <c r="R427" s="101" t="b">
        <f t="shared" si="106"/>
        <v>1</v>
      </c>
      <c r="S427" s="101" t="b">
        <f t="shared" si="107"/>
        <v>1</v>
      </c>
      <c r="T427" s="167">
        <f t="shared" si="108"/>
        <v>0</v>
      </c>
      <c r="U427" s="167">
        <f t="shared" si="109"/>
        <v>0</v>
      </c>
      <c r="V427" s="167">
        <f t="shared" si="110"/>
        <v>0</v>
      </c>
    </row>
    <row r="428" spans="1:22" s="97" customFormat="1" ht="20.100000000000001" customHeight="1">
      <c r="A428" s="222"/>
      <c r="B428" s="23" t="s">
        <v>132</v>
      </c>
      <c r="C428" s="37" t="s">
        <v>995</v>
      </c>
      <c r="D428" s="37" t="s">
        <v>171</v>
      </c>
      <c r="E428" s="240">
        <f>'Вед-я стр-ра'!H561</f>
        <v>730</v>
      </c>
      <c r="F428" s="240">
        <f>'Вед-я стр-ра'!I561</f>
        <v>730</v>
      </c>
      <c r="G428" s="240">
        <f>'Вед-я стр-ра'!J561</f>
        <v>730</v>
      </c>
      <c r="H428" s="240">
        <v>730</v>
      </c>
      <c r="I428" s="240">
        <v>730</v>
      </c>
      <c r="J428" s="240">
        <v>730</v>
      </c>
      <c r="K428" s="23" t="s">
        <v>132</v>
      </c>
      <c r="L428" s="37" t="s">
        <v>995</v>
      </c>
      <c r="M428" s="37" t="s">
        <v>171</v>
      </c>
      <c r="N428" s="240">
        <v>730</v>
      </c>
      <c r="O428" s="240">
        <v>730</v>
      </c>
      <c r="P428" s="240">
        <v>730</v>
      </c>
      <c r="Q428" s="101" t="b">
        <f t="shared" si="105"/>
        <v>1</v>
      </c>
      <c r="R428" s="101" t="b">
        <f t="shared" si="106"/>
        <v>1</v>
      </c>
      <c r="S428" s="101" t="b">
        <f t="shared" si="107"/>
        <v>1</v>
      </c>
      <c r="T428" s="167">
        <f t="shared" si="108"/>
        <v>0</v>
      </c>
      <c r="U428" s="167">
        <f t="shared" si="109"/>
        <v>0</v>
      </c>
      <c r="V428" s="167">
        <f t="shared" si="110"/>
        <v>0</v>
      </c>
    </row>
    <row r="429" spans="1:22" s="90" customFormat="1" ht="20.100000000000001" customHeight="1">
      <c r="A429" s="347"/>
      <c r="B429" s="182" t="s">
        <v>958</v>
      </c>
      <c r="C429" s="230" t="s">
        <v>414</v>
      </c>
      <c r="D429" s="230" t="s">
        <v>90</v>
      </c>
      <c r="E429" s="252">
        <f>E430</f>
        <v>9284.57</v>
      </c>
      <c r="F429" s="252">
        <f t="shared" ref="F429:G429" si="123">F430</f>
        <v>9286.24</v>
      </c>
      <c r="G429" s="252">
        <f t="shared" si="123"/>
        <v>9287.98</v>
      </c>
      <c r="H429" s="252">
        <v>9284.57</v>
      </c>
      <c r="I429" s="252">
        <v>9286.24</v>
      </c>
      <c r="J429" s="252">
        <v>9287.98</v>
      </c>
      <c r="K429" s="182" t="s">
        <v>958</v>
      </c>
      <c r="L429" s="230" t="s">
        <v>414</v>
      </c>
      <c r="M429" s="230" t="s">
        <v>90</v>
      </c>
      <c r="N429" s="252">
        <v>9277.0499999999993</v>
      </c>
      <c r="O429" s="252">
        <v>9278.7199999999993</v>
      </c>
      <c r="P429" s="252">
        <v>9280.4599999999991</v>
      </c>
      <c r="Q429" s="101" t="b">
        <f t="shared" si="105"/>
        <v>1</v>
      </c>
      <c r="R429" s="101" t="b">
        <f t="shared" si="106"/>
        <v>1</v>
      </c>
      <c r="S429" s="101" t="b">
        <f t="shared" si="107"/>
        <v>1</v>
      </c>
      <c r="T429" s="167">
        <f t="shared" si="108"/>
        <v>7.5200000000004366</v>
      </c>
      <c r="U429" s="167">
        <f t="shared" si="109"/>
        <v>7.5200000000004366</v>
      </c>
      <c r="V429" s="167">
        <f t="shared" si="110"/>
        <v>7.5200000000004366</v>
      </c>
    </row>
    <row r="430" spans="1:22" s="97" customFormat="1" ht="20.100000000000001" customHeight="1">
      <c r="A430" s="222"/>
      <c r="B430" s="182" t="s">
        <v>254</v>
      </c>
      <c r="C430" s="37" t="s">
        <v>960</v>
      </c>
      <c r="D430" s="239" t="s">
        <v>90</v>
      </c>
      <c r="E430" s="240">
        <f>SUM(E431:E431)</f>
        <v>9284.57</v>
      </c>
      <c r="F430" s="240">
        <f>SUM(F431:F431)</f>
        <v>9286.24</v>
      </c>
      <c r="G430" s="240">
        <f>SUM(G431:G431)</f>
        <v>9287.98</v>
      </c>
      <c r="H430" s="240">
        <v>9284.57</v>
      </c>
      <c r="I430" s="240">
        <v>9286.24</v>
      </c>
      <c r="J430" s="240">
        <v>9287.98</v>
      </c>
      <c r="K430" s="182" t="s">
        <v>254</v>
      </c>
      <c r="L430" s="37" t="s">
        <v>960</v>
      </c>
      <c r="M430" s="239" t="s">
        <v>90</v>
      </c>
      <c r="N430" s="240">
        <v>9277.0499999999993</v>
      </c>
      <c r="O430" s="240">
        <v>9278.7199999999993</v>
      </c>
      <c r="P430" s="240">
        <v>9280.4599999999991</v>
      </c>
      <c r="Q430" s="101" t="b">
        <f t="shared" si="105"/>
        <v>1</v>
      </c>
      <c r="R430" s="101" t="b">
        <f t="shared" si="106"/>
        <v>1</v>
      </c>
      <c r="S430" s="101" t="b">
        <f t="shared" si="107"/>
        <v>1</v>
      </c>
      <c r="T430" s="167">
        <f t="shared" si="108"/>
        <v>7.5200000000004366</v>
      </c>
      <c r="U430" s="167">
        <f t="shared" si="109"/>
        <v>7.5200000000004366</v>
      </c>
      <c r="V430" s="167">
        <f t="shared" si="110"/>
        <v>7.5200000000004366</v>
      </c>
    </row>
    <row r="431" spans="1:22" s="97" customFormat="1" ht="20.100000000000001" customHeight="1">
      <c r="A431" s="222"/>
      <c r="B431" s="23" t="s">
        <v>132</v>
      </c>
      <c r="C431" s="37" t="s">
        <v>960</v>
      </c>
      <c r="D431" s="239" t="s">
        <v>171</v>
      </c>
      <c r="E431" s="240">
        <f>'Вед-я стр-ра'!H564</f>
        <v>9284.57</v>
      </c>
      <c r="F431" s="240">
        <f>'Вед-я стр-ра'!I564</f>
        <v>9286.24</v>
      </c>
      <c r="G431" s="240">
        <f>'Вед-я стр-ра'!J564</f>
        <v>9287.98</v>
      </c>
      <c r="H431" s="240">
        <v>9284.57</v>
      </c>
      <c r="I431" s="240">
        <v>9286.24</v>
      </c>
      <c r="J431" s="240">
        <v>9287.98</v>
      </c>
      <c r="K431" s="23" t="s">
        <v>132</v>
      </c>
      <c r="L431" s="37" t="s">
        <v>960</v>
      </c>
      <c r="M431" s="239" t="s">
        <v>171</v>
      </c>
      <c r="N431" s="240">
        <v>9277.0499999999993</v>
      </c>
      <c r="O431" s="240">
        <v>9278.7199999999993</v>
      </c>
      <c r="P431" s="240">
        <v>9280.4599999999991</v>
      </c>
      <c r="Q431" s="101" t="b">
        <f t="shared" si="105"/>
        <v>1</v>
      </c>
      <c r="R431" s="101" t="b">
        <f t="shared" si="106"/>
        <v>1</v>
      </c>
      <c r="S431" s="101" t="b">
        <f t="shared" si="107"/>
        <v>1</v>
      </c>
      <c r="T431" s="167">
        <f t="shared" si="108"/>
        <v>7.5200000000004366</v>
      </c>
      <c r="U431" s="167">
        <f t="shared" si="109"/>
        <v>7.5200000000004366</v>
      </c>
      <c r="V431" s="167">
        <f t="shared" si="110"/>
        <v>7.5200000000004366</v>
      </c>
    </row>
    <row r="432" spans="1:22" s="97" customFormat="1" ht="20.100000000000001" customHeight="1">
      <c r="A432" s="222"/>
      <c r="B432" s="180"/>
      <c r="C432" s="251"/>
      <c r="D432" s="239"/>
      <c r="E432" s="240"/>
      <c r="F432" s="240"/>
      <c r="G432" s="240"/>
      <c r="H432" s="240"/>
      <c r="I432" s="240"/>
      <c r="J432" s="240"/>
      <c r="K432" s="180"/>
      <c r="L432" s="251"/>
      <c r="M432" s="239"/>
      <c r="N432" s="240"/>
      <c r="O432" s="240"/>
      <c r="P432" s="240"/>
      <c r="Q432" s="101" t="b">
        <f t="shared" si="105"/>
        <v>1</v>
      </c>
      <c r="R432" s="101" t="b">
        <f t="shared" si="106"/>
        <v>1</v>
      </c>
      <c r="S432" s="101" t="b">
        <f t="shared" si="107"/>
        <v>1</v>
      </c>
      <c r="T432" s="167">
        <f t="shared" si="108"/>
        <v>0</v>
      </c>
      <c r="U432" s="167">
        <f t="shared" si="109"/>
        <v>0</v>
      </c>
      <c r="V432" s="167">
        <f t="shared" si="110"/>
        <v>0</v>
      </c>
    </row>
    <row r="433" spans="1:22" s="101" customFormat="1" ht="20.100000000000001" customHeight="1">
      <c r="A433" s="345"/>
      <c r="B433" s="42" t="s">
        <v>660</v>
      </c>
      <c r="C433" s="233" t="s">
        <v>305</v>
      </c>
      <c r="D433" s="233" t="s">
        <v>90</v>
      </c>
      <c r="E433" s="234">
        <f t="shared" ref="E433:G434" si="124">E434</f>
        <v>254800</v>
      </c>
      <c r="F433" s="234">
        <f t="shared" si="124"/>
        <v>254800</v>
      </c>
      <c r="G433" s="234">
        <f t="shared" si="124"/>
        <v>254800</v>
      </c>
      <c r="H433" s="234">
        <v>254800</v>
      </c>
      <c r="I433" s="234">
        <v>254800</v>
      </c>
      <c r="J433" s="234">
        <v>254800</v>
      </c>
      <c r="K433" s="42" t="s">
        <v>660</v>
      </c>
      <c r="L433" s="233" t="s">
        <v>305</v>
      </c>
      <c r="M433" s="233" t="s">
        <v>90</v>
      </c>
      <c r="N433" s="234">
        <v>254800</v>
      </c>
      <c r="O433" s="234">
        <v>254800</v>
      </c>
      <c r="P433" s="234">
        <v>254800</v>
      </c>
      <c r="Q433" s="101" t="b">
        <f t="shared" si="105"/>
        <v>1</v>
      </c>
      <c r="R433" s="101" t="b">
        <f t="shared" si="106"/>
        <v>1</v>
      </c>
      <c r="S433" s="101" t="b">
        <f t="shared" si="107"/>
        <v>1</v>
      </c>
      <c r="T433" s="167">
        <f t="shared" si="108"/>
        <v>0</v>
      </c>
      <c r="U433" s="167">
        <f t="shared" si="109"/>
        <v>0</v>
      </c>
      <c r="V433" s="167">
        <f t="shared" si="110"/>
        <v>0</v>
      </c>
    </row>
    <row r="434" spans="1:22" s="102" customFormat="1" ht="20.100000000000001" customHeight="1">
      <c r="A434" s="346"/>
      <c r="B434" s="28" t="s">
        <v>661</v>
      </c>
      <c r="C434" s="236" t="s">
        <v>306</v>
      </c>
      <c r="D434" s="236" t="s">
        <v>90</v>
      </c>
      <c r="E434" s="237">
        <f t="shared" si="124"/>
        <v>254800</v>
      </c>
      <c r="F434" s="237">
        <f t="shared" si="124"/>
        <v>254800</v>
      </c>
      <c r="G434" s="237">
        <f t="shared" si="124"/>
        <v>254800</v>
      </c>
      <c r="H434" s="237">
        <v>254800</v>
      </c>
      <c r="I434" s="237">
        <v>254800</v>
      </c>
      <c r="J434" s="237">
        <v>254800</v>
      </c>
      <c r="K434" s="28" t="s">
        <v>661</v>
      </c>
      <c r="L434" s="236" t="s">
        <v>306</v>
      </c>
      <c r="M434" s="236" t="s">
        <v>90</v>
      </c>
      <c r="N434" s="237">
        <v>254800</v>
      </c>
      <c r="O434" s="237">
        <v>254800</v>
      </c>
      <c r="P434" s="237">
        <v>254800</v>
      </c>
      <c r="Q434" s="101" t="b">
        <f t="shared" si="105"/>
        <v>1</v>
      </c>
      <c r="R434" s="101" t="b">
        <f t="shared" si="106"/>
        <v>1</v>
      </c>
      <c r="S434" s="101" t="b">
        <f t="shared" si="107"/>
        <v>1</v>
      </c>
      <c r="T434" s="167">
        <f t="shared" si="108"/>
        <v>0</v>
      </c>
      <c r="U434" s="167">
        <f t="shared" si="109"/>
        <v>0</v>
      </c>
      <c r="V434" s="167">
        <f t="shared" si="110"/>
        <v>0</v>
      </c>
    </row>
    <row r="435" spans="1:22" s="90" customFormat="1" ht="20.100000000000001" customHeight="1">
      <c r="A435" s="347"/>
      <c r="B435" s="178" t="s">
        <v>1017</v>
      </c>
      <c r="C435" s="230" t="s">
        <v>801</v>
      </c>
      <c r="D435" s="230" t="s">
        <v>90</v>
      </c>
      <c r="E435" s="252">
        <f t="shared" ref="E435:G436" si="125">E436</f>
        <v>254800</v>
      </c>
      <c r="F435" s="252">
        <f t="shared" si="125"/>
        <v>254800</v>
      </c>
      <c r="G435" s="252">
        <f t="shared" si="125"/>
        <v>254800</v>
      </c>
      <c r="H435" s="252">
        <v>254800</v>
      </c>
      <c r="I435" s="252">
        <v>254800</v>
      </c>
      <c r="J435" s="252">
        <v>254800</v>
      </c>
      <c r="K435" s="178" t="s">
        <v>1017</v>
      </c>
      <c r="L435" s="230" t="s">
        <v>801</v>
      </c>
      <c r="M435" s="230" t="s">
        <v>90</v>
      </c>
      <c r="N435" s="252">
        <v>254800</v>
      </c>
      <c r="O435" s="252">
        <v>254800</v>
      </c>
      <c r="P435" s="252">
        <v>254800</v>
      </c>
      <c r="Q435" s="101" t="b">
        <f t="shared" si="105"/>
        <v>1</v>
      </c>
      <c r="R435" s="101" t="b">
        <f t="shared" si="106"/>
        <v>1</v>
      </c>
      <c r="S435" s="101" t="b">
        <f t="shared" si="107"/>
        <v>1</v>
      </c>
      <c r="T435" s="167">
        <f t="shared" si="108"/>
        <v>0</v>
      </c>
      <c r="U435" s="167">
        <f t="shared" si="109"/>
        <v>0</v>
      </c>
      <c r="V435" s="167">
        <f t="shared" si="110"/>
        <v>0</v>
      </c>
    </row>
    <row r="436" spans="1:22" s="97" customFormat="1" ht="20.100000000000001" customHeight="1">
      <c r="A436" s="222"/>
      <c r="B436" s="175" t="s">
        <v>135</v>
      </c>
      <c r="C436" s="230" t="s">
        <v>847</v>
      </c>
      <c r="D436" s="230" t="s">
        <v>90</v>
      </c>
      <c r="E436" s="252">
        <f t="shared" si="125"/>
        <v>254800</v>
      </c>
      <c r="F436" s="252">
        <f t="shared" si="125"/>
        <v>254800</v>
      </c>
      <c r="G436" s="252">
        <f t="shared" si="125"/>
        <v>254800</v>
      </c>
      <c r="H436" s="252">
        <v>254800</v>
      </c>
      <c r="I436" s="252">
        <v>254800</v>
      </c>
      <c r="J436" s="252">
        <v>254800</v>
      </c>
      <c r="K436" s="175" t="s">
        <v>135</v>
      </c>
      <c r="L436" s="230" t="s">
        <v>847</v>
      </c>
      <c r="M436" s="230" t="s">
        <v>90</v>
      </c>
      <c r="N436" s="252">
        <v>254800</v>
      </c>
      <c r="O436" s="252">
        <v>254800</v>
      </c>
      <c r="P436" s="252">
        <v>254800</v>
      </c>
      <c r="Q436" s="101" t="b">
        <f t="shared" si="105"/>
        <v>1</v>
      </c>
      <c r="R436" s="101" t="b">
        <f t="shared" si="106"/>
        <v>1</v>
      </c>
      <c r="S436" s="101" t="b">
        <f t="shared" si="107"/>
        <v>1</v>
      </c>
      <c r="T436" s="167">
        <f t="shared" si="108"/>
        <v>0</v>
      </c>
      <c r="U436" s="167">
        <f t="shared" si="109"/>
        <v>0</v>
      </c>
      <c r="V436" s="167">
        <f t="shared" si="110"/>
        <v>0</v>
      </c>
    </row>
    <row r="437" spans="1:22" s="97" customFormat="1" ht="20.100000000000001" customHeight="1">
      <c r="A437" s="222"/>
      <c r="B437" s="254" t="s">
        <v>134</v>
      </c>
      <c r="C437" s="230" t="s">
        <v>847</v>
      </c>
      <c r="D437" s="230">
        <v>730</v>
      </c>
      <c r="E437" s="252">
        <f>'Вед-я стр-ра'!H236</f>
        <v>254800</v>
      </c>
      <c r="F437" s="252">
        <f>'Вед-я стр-ра'!I236</f>
        <v>254800</v>
      </c>
      <c r="G437" s="252">
        <f>'Вед-я стр-ра'!J236</f>
        <v>254800</v>
      </c>
      <c r="H437" s="531">
        <v>254800</v>
      </c>
      <c r="I437" s="531">
        <v>254800</v>
      </c>
      <c r="J437" s="531">
        <v>254800</v>
      </c>
      <c r="K437" s="254" t="s">
        <v>134</v>
      </c>
      <c r="L437" s="230" t="s">
        <v>847</v>
      </c>
      <c r="M437" s="230">
        <v>730</v>
      </c>
      <c r="N437" s="252">
        <v>254800</v>
      </c>
      <c r="O437" s="252">
        <v>254800</v>
      </c>
      <c r="P437" s="252">
        <v>254800</v>
      </c>
      <c r="Q437" s="101" t="b">
        <f t="shared" si="105"/>
        <v>1</v>
      </c>
      <c r="R437" s="101" t="b">
        <f t="shared" si="106"/>
        <v>1</v>
      </c>
      <c r="S437" s="101" t="b">
        <f t="shared" si="107"/>
        <v>1</v>
      </c>
      <c r="T437" s="167">
        <f t="shared" si="108"/>
        <v>0</v>
      </c>
      <c r="U437" s="167">
        <f t="shared" si="109"/>
        <v>0</v>
      </c>
      <c r="V437" s="167">
        <f t="shared" si="110"/>
        <v>0</v>
      </c>
    </row>
    <row r="438" spans="1:22" s="97" customFormat="1" ht="20.100000000000001" customHeight="1">
      <c r="A438" s="222"/>
      <c r="B438" s="180"/>
      <c r="C438" s="230"/>
      <c r="D438" s="230"/>
      <c r="E438" s="252"/>
      <c r="F438" s="252"/>
      <c r="G438" s="252"/>
      <c r="H438" s="252"/>
      <c r="I438" s="252"/>
      <c r="J438" s="252"/>
      <c r="K438" s="180"/>
      <c r="L438" s="230"/>
      <c r="M438" s="230"/>
      <c r="N438" s="252"/>
      <c r="O438" s="252"/>
      <c r="P438" s="252"/>
      <c r="Q438" s="101" t="b">
        <f t="shared" si="105"/>
        <v>1</v>
      </c>
      <c r="R438" s="101" t="b">
        <f t="shared" si="106"/>
        <v>1</v>
      </c>
      <c r="S438" s="101" t="b">
        <f t="shared" si="107"/>
        <v>1</v>
      </c>
      <c r="T438" s="167">
        <f t="shared" si="108"/>
        <v>0</v>
      </c>
      <c r="U438" s="167">
        <f t="shared" si="109"/>
        <v>0</v>
      </c>
      <c r="V438" s="167">
        <f t="shared" si="110"/>
        <v>0</v>
      </c>
    </row>
    <row r="439" spans="1:22" s="101" customFormat="1" ht="20.100000000000001" customHeight="1">
      <c r="A439" s="345"/>
      <c r="B439" s="42" t="s">
        <v>662</v>
      </c>
      <c r="C439" s="233" t="s">
        <v>282</v>
      </c>
      <c r="D439" s="233" t="s">
        <v>90</v>
      </c>
      <c r="E439" s="234">
        <f>E440</f>
        <v>23395.69</v>
      </c>
      <c r="F439" s="234">
        <f>F440</f>
        <v>11359.23</v>
      </c>
      <c r="G439" s="234">
        <f>G440</f>
        <v>11400.36</v>
      </c>
      <c r="H439" s="234">
        <v>23395.69</v>
      </c>
      <c r="I439" s="234">
        <v>11359.23</v>
      </c>
      <c r="J439" s="234">
        <v>11400.36</v>
      </c>
      <c r="K439" s="42" t="s">
        <v>662</v>
      </c>
      <c r="L439" s="233" t="s">
        <v>282</v>
      </c>
      <c r="M439" s="233" t="s">
        <v>90</v>
      </c>
      <c r="N439" s="234">
        <v>23262.579999999998</v>
      </c>
      <c r="O439" s="234">
        <v>11359.23</v>
      </c>
      <c r="P439" s="234">
        <v>11400.36</v>
      </c>
      <c r="Q439" s="101" t="b">
        <f t="shared" si="105"/>
        <v>1</v>
      </c>
      <c r="R439" s="101" t="b">
        <f t="shared" si="106"/>
        <v>1</v>
      </c>
      <c r="S439" s="101" t="b">
        <f t="shared" si="107"/>
        <v>1</v>
      </c>
      <c r="T439" s="167">
        <f t="shared" si="108"/>
        <v>133.11000000000058</v>
      </c>
      <c r="U439" s="167">
        <f t="shared" si="109"/>
        <v>0</v>
      </c>
      <c r="V439" s="167">
        <f t="shared" si="110"/>
        <v>0</v>
      </c>
    </row>
    <row r="440" spans="1:22" s="102" customFormat="1" ht="20.100000000000001" customHeight="1">
      <c r="A440" s="346"/>
      <c r="B440" s="28" t="s">
        <v>663</v>
      </c>
      <c r="C440" s="236" t="s">
        <v>283</v>
      </c>
      <c r="D440" s="236" t="s">
        <v>90</v>
      </c>
      <c r="E440" s="237">
        <f>E445+E454+E441</f>
        <v>23395.69</v>
      </c>
      <c r="F440" s="237">
        <f>F445+F454+F441</f>
        <v>11359.23</v>
      </c>
      <c r="G440" s="237">
        <f>G445+G454+G441</f>
        <v>11400.36</v>
      </c>
      <c r="H440" s="237">
        <v>23395.69</v>
      </c>
      <c r="I440" s="237">
        <v>11359.23</v>
      </c>
      <c r="J440" s="237">
        <v>11400.36</v>
      </c>
      <c r="K440" s="28" t="s">
        <v>663</v>
      </c>
      <c r="L440" s="236" t="s">
        <v>283</v>
      </c>
      <c r="M440" s="236" t="s">
        <v>90</v>
      </c>
      <c r="N440" s="237">
        <v>23262.579999999998</v>
      </c>
      <c r="O440" s="237">
        <v>11359.23</v>
      </c>
      <c r="P440" s="237">
        <v>11400.36</v>
      </c>
      <c r="Q440" s="101" t="b">
        <f t="shared" si="105"/>
        <v>1</v>
      </c>
      <c r="R440" s="101" t="b">
        <f t="shared" si="106"/>
        <v>1</v>
      </c>
      <c r="S440" s="101" t="b">
        <f t="shared" si="107"/>
        <v>1</v>
      </c>
      <c r="T440" s="167">
        <f t="shared" si="108"/>
        <v>133.11000000000058</v>
      </c>
      <c r="U440" s="167">
        <f t="shared" si="109"/>
        <v>0</v>
      </c>
      <c r="V440" s="167">
        <f t="shared" si="110"/>
        <v>0</v>
      </c>
    </row>
    <row r="441" spans="1:22" s="102" customFormat="1" ht="20.100000000000001" customHeight="1">
      <c r="A441" s="346"/>
      <c r="B441" s="178" t="s">
        <v>738</v>
      </c>
      <c r="C441" s="230" t="s">
        <v>285</v>
      </c>
      <c r="D441" s="230" t="s">
        <v>90</v>
      </c>
      <c r="E441" s="252">
        <f>E442</f>
        <v>1264.3200000000002</v>
      </c>
      <c r="F441" s="252">
        <f>F442</f>
        <v>1264.3200000000002</v>
      </c>
      <c r="G441" s="252">
        <f>G442</f>
        <v>1264.3200000000002</v>
      </c>
      <c r="H441" s="252">
        <v>1264.3200000000002</v>
      </c>
      <c r="I441" s="252">
        <v>1264.3200000000002</v>
      </c>
      <c r="J441" s="252">
        <v>1264.3200000000002</v>
      </c>
      <c r="K441" s="178" t="s">
        <v>738</v>
      </c>
      <c r="L441" s="230" t="s">
        <v>285</v>
      </c>
      <c r="M441" s="230" t="s">
        <v>90</v>
      </c>
      <c r="N441" s="252">
        <v>1264.3200000000002</v>
      </c>
      <c r="O441" s="252">
        <v>1264.3200000000002</v>
      </c>
      <c r="P441" s="252">
        <v>1264.3200000000002</v>
      </c>
      <c r="Q441" s="101" t="b">
        <f t="shared" si="105"/>
        <v>1</v>
      </c>
      <c r="R441" s="101" t="b">
        <f t="shared" si="106"/>
        <v>1</v>
      </c>
      <c r="S441" s="101" t="b">
        <f t="shared" si="107"/>
        <v>1</v>
      </c>
      <c r="T441" s="167">
        <f t="shared" si="108"/>
        <v>0</v>
      </c>
      <c r="U441" s="167">
        <f t="shared" si="109"/>
        <v>0</v>
      </c>
      <c r="V441" s="167">
        <f t="shared" si="110"/>
        <v>0</v>
      </c>
    </row>
    <row r="442" spans="1:22" s="102" customFormat="1" ht="20.100000000000001" customHeight="1">
      <c r="A442" s="346"/>
      <c r="B442" s="178" t="s">
        <v>195</v>
      </c>
      <c r="C442" s="230" t="s">
        <v>952</v>
      </c>
      <c r="D442" s="230" t="s">
        <v>90</v>
      </c>
      <c r="E442" s="252">
        <f>E443+E444</f>
        <v>1264.3200000000002</v>
      </c>
      <c r="F442" s="252">
        <f>F443+F444</f>
        <v>1264.3200000000002</v>
      </c>
      <c r="G442" s="252">
        <f>G443+G444</f>
        <v>1264.3200000000002</v>
      </c>
      <c r="H442" s="252">
        <v>1264.3200000000002</v>
      </c>
      <c r="I442" s="252">
        <v>1264.3200000000002</v>
      </c>
      <c r="J442" s="252">
        <v>1264.3200000000002</v>
      </c>
      <c r="K442" s="178" t="s">
        <v>195</v>
      </c>
      <c r="L442" s="230" t="s">
        <v>952</v>
      </c>
      <c r="M442" s="230" t="s">
        <v>90</v>
      </c>
      <c r="N442" s="252">
        <v>1264.3200000000002</v>
      </c>
      <c r="O442" s="252">
        <v>1264.3200000000002</v>
      </c>
      <c r="P442" s="252">
        <v>1264.3200000000002</v>
      </c>
      <c r="Q442" s="101" t="b">
        <f t="shared" si="105"/>
        <v>1</v>
      </c>
      <c r="R442" s="101" t="b">
        <f t="shared" si="106"/>
        <v>1</v>
      </c>
      <c r="S442" s="101" t="b">
        <f t="shared" si="107"/>
        <v>1</v>
      </c>
      <c r="T442" s="167">
        <f t="shared" si="108"/>
        <v>0</v>
      </c>
      <c r="U442" s="167">
        <f t="shared" si="109"/>
        <v>0</v>
      </c>
      <c r="V442" s="167">
        <f t="shared" si="110"/>
        <v>0</v>
      </c>
    </row>
    <row r="443" spans="1:22" s="102" customFormat="1" ht="20.100000000000001" customHeight="1">
      <c r="A443" s="346"/>
      <c r="B443" s="178" t="s">
        <v>145</v>
      </c>
      <c r="C443" s="230" t="s">
        <v>952</v>
      </c>
      <c r="D443" s="239" t="s">
        <v>153</v>
      </c>
      <c r="E443" s="252">
        <f>'Вед-я стр-ра'!H171</f>
        <v>859.32</v>
      </c>
      <c r="F443" s="252">
        <f>'Вед-я стр-ра'!I171</f>
        <v>859.32</v>
      </c>
      <c r="G443" s="252">
        <f>'Вед-я стр-ра'!J171</f>
        <v>859.32</v>
      </c>
      <c r="H443" s="252">
        <v>859.32</v>
      </c>
      <c r="I443" s="252">
        <v>859.32</v>
      </c>
      <c r="J443" s="252">
        <v>859.32</v>
      </c>
      <c r="K443" s="178" t="s">
        <v>145</v>
      </c>
      <c r="L443" s="230" t="s">
        <v>952</v>
      </c>
      <c r="M443" s="239" t="s">
        <v>153</v>
      </c>
      <c r="N443" s="252">
        <v>859.32</v>
      </c>
      <c r="O443" s="252">
        <v>859.32</v>
      </c>
      <c r="P443" s="252">
        <v>859.32</v>
      </c>
      <c r="Q443" s="101" t="b">
        <f t="shared" si="105"/>
        <v>1</v>
      </c>
      <c r="R443" s="101" t="b">
        <f t="shared" si="106"/>
        <v>1</v>
      </c>
      <c r="S443" s="101" t="b">
        <f t="shared" si="107"/>
        <v>1</v>
      </c>
      <c r="T443" s="167">
        <f t="shared" si="108"/>
        <v>0</v>
      </c>
      <c r="U443" s="167">
        <f t="shared" si="109"/>
        <v>0</v>
      </c>
      <c r="V443" s="167">
        <f t="shared" si="110"/>
        <v>0</v>
      </c>
    </row>
    <row r="444" spans="1:22" s="102" customFormat="1" ht="20.100000000000001" customHeight="1">
      <c r="A444" s="346"/>
      <c r="B444" s="178" t="str">
        <f>'Вед-я стр-ра'!B172</f>
        <v>Исполнение судебных актов</v>
      </c>
      <c r="C444" s="230" t="s">
        <v>952</v>
      </c>
      <c r="D444" s="239" t="s">
        <v>166</v>
      </c>
      <c r="E444" s="252">
        <f>'Вед-я стр-ра'!H172</f>
        <v>405</v>
      </c>
      <c r="F444" s="252">
        <f>'Вед-я стр-ра'!I172</f>
        <v>405</v>
      </c>
      <c r="G444" s="252">
        <f>'Вед-я стр-ра'!J172</f>
        <v>405</v>
      </c>
      <c r="H444" s="252">
        <v>405</v>
      </c>
      <c r="I444" s="252">
        <v>405</v>
      </c>
      <c r="J444" s="252">
        <v>405</v>
      </c>
      <c r="K444" s="178" t="s">
        <v>136</v>
      </c>
      <c r="L444" s="230" t="s">
        <v>952</v>
      </c>
      <c r="M444" s="239" t="s">
        <v>166</v>
      </c>
      <c r="N444" s="252">
        <v>405</v>
      </c>
      <c r="O444" s="252">
        <v>405</v>
      </c>
      <c r="P444" s="252">
        <v>405</v>
      </c>
      <c r="Q444" s="101" t="b">
        <f t="shared" si="105"/>
        <v>1</v>
      </c>
      <c r="R444" s="101" t="b">
        <f t="shared" si="106"/>
        <v>1</v>
      </c>
      <c r="S444" s="101" t="b">
        <f t="shared" si="107"/>
        <v>1</v>
      </c>
      <c r="T444" s="167">
        <f t="shared" si="108"/>
        <v>0</v>
      </c>
      <c r="U444" s="167">
        <f t="shared" si="109"/>
        <v>0</v>
      </c>
      <c r="V444" s="167">
        <f t="shared" si="110"/>
        <v>0</v>
      </c>
    </row>
    <row r="445" spans="1:22" s="90" customFormat="1" ht="20.100000000000001" customHeight="1">
      <c r="A445" s="347"/>
      <c r="B445" s="178" t="s">
        <v>284</v>
      </c>
      <c r="C445" s="230" t="s">
        <v>287</v>
      </c>
      <c r="D445" s="230" t="s">
        <v>90</v>
      </c>
      <c r="E445" s="252">
        <f>E446+E448+E450+E452</f>
        <v>21519.37</v>
      </c>
      <c r="F445" s="252">
        <f>F446+F448+F450+F452</f>
        <v>9482.91</v>
      </c>
      <c r="G445" s="252">
        <f>G446+G448+G450+G452</f>
        <v>9524.0400000000009</v>
      </c>
      <c r="H445" s="252">
        <v>21519.37</v>
      </c>
      <c r="I445" s="252">
        <v>9482.91</v>
      </c>
      <c r="J445" s="252">
        <v>9524.0400000000009</v>
      </c>
      <c r="K445" s="178" t="s">
        <v>284</v>
      </c>
      <c r="L445" s="230" t="s">
        <v>287</v>
      </c>
      <c r="M445" s="230" t="s">
        <v>90</v>
      </c>
      <c r="N445" s="252">
        <v>21386.26</v>
      </c>
      <c r="O445" s="252">
        <v>9482.91</v>
      </c>
      <c r="P445" s="252">
        <v>9524.0400000000009</v>
      </c>
      <c r="Q445" s="101" t="b">
        <f t="shared" si="105"/>
        <v>1</v>
      </c>
      <c r="R445" s="101" t="b">
        <f t="shared" si="106"/>
        <v>1</v>
      </c>
      <c r="S445" s="101" t="b">
        <f t="shared" si="107"/>
        <v>1</v>
      </c>
      <c r="T445" s="167">
        <f t="shared" si="108"/>
        <v>133.11000000000058</v>
      </c>
      <c r="U445" s="167">
        <f t="shared" si="109"/>
        <v>0</v>
      </c>
      <c r="V445" s="167">
        <f t="shared" si="110"/>
        <v>0</v>
      </c>
    </row>
    <row r="446" spans="1:22" s="97" customFormat="1" ht="20.100000000000001" customHeight="1">
      <c r="A446" s="222"/>
      <c r="B446" s="175" t="s">
        <v>192</v>
      </c>
      <c r="C446" s="230" t="s">
        <v>953</v>
      </c>
      <c r="D446" s="230" t="s">
        <v>90</v>
      </c>
      <c r="E446" s="252">
        <f>SUM(E447:E447)</f>
        <v>1269.77</v>
      </c>
      <c r="F446" s="252">
        <f>SUM(F447:F447)</f>
        <v>1269.77</v>
      </c>
      <c r="G446" s="252">
        <f>SUM(G447:G447)</f>
        <v>1269.77</v>
      </c>
      <c r="H446" s="252">
        <v>1269.77</v>
      </c>
      <c r="I446" s="252">
        <v>1269.77</v>
      </c>
      <c r="J446" s="252">
        <v>1269.77</v>
      </c>
      <c r="K446" s="175" t="s">
        <v>192</v>
      </c>
      <c r="L446" s="230" t="s">
        <v>953</v>
      </c>
      <c r="M446" s="230" t="s">
        <v>90</v>
      </c>
      <c r="N446" s="252">
        <v>1269.77</v>
      </c>
      <c r="O446" s="252">
        <v>1269.77</v>
      </c>
      <c r="P446" s="252">
        <v>1269.77</v>
      </c>
      <c r="Q446" s="101" t="b">
        <f t="shared" si="105"/>
        <v>1</v>
      </c>
      <c r="R446" s="101" t="b">
        <f t="shared" si="106"/>
        <v>1</v>
      </c>
      <c r="S446" s="101" t="b">
        <f t="shared" si="107"/>
        <v>1</v>
      </c>
      <c r="T446" s="167">
        <f t="shared" si="108"/>
        <v>0</v>
      </c>
      <c r="U446" s="167">
        <f t="shared" si="109"/>
        <v>0</v>
      </c>
      <c r="V446" s="167">
        <f t="shared" si="110"/>
        <v>0</v>
      </c>
    </row>
    <row r="447" spans="1:22" s="97" customFormat="1" ht="20.100000000000001" customHeight="1">
      <c r="A447" s="222"/>
      <c r="B447" s="178" t="s">
        <v>145</v>
      </c>
      <c r="C447" s="230" t="s">
        <v>953</v>
      </c>
      <c r="D447" s="239" t="s">
        <v>153</v>
      </c>
      <c r="E447" s="252">
        <f>'Вед-я стр-ра'!H175</f>
        <v>1269.77</v>
      </c>
      <c r="F447" s="252">
        <f>'Вед-я стр-ра'!I175</f>
        <v>1269.77</v>
      </c>
      <c r="G447" s="252">
        <f>'Вед-я стр-ра'!J175</f>
        <v>1269.77</v>
      </c>
      <c r="H447" s="252">
        <v>1269.77</v>
      </c>
      <c r="I447" s="252">
        <v>1269.77</v>
      </c>
      <c r="J447" s="252">
        <v>1269.77</v>
      </c>
      <c r="K447" s="178" t="s">
        <v>145</v>
      </c>
      <c r="L447" s="230" t="s">
        <v>953</v>
      </c>
      <c r="M447" s="239" t="s">
        <v>153</v>
      </c>
      <c r="N447" s="252">
        <v>1269.77</v>
      </c>
      <c r="O447" s="252">
        <v>1269.77</v>
      </c>
      <c r="P447" s="252">
        <v>1269.77</v>
      </c>
      <c r="Q447" s="101" t="b">
        <f t="shared" si="105"/>
        <v>1</v>
      </c>
      <c r="R447" s="101" t="b">
        <f t="shared" si="106"/>
        <v>1</v>
      </c>
      <c r="S447" s="101" t="b">
        <f t="shared" si="107"/>
        <v>1</v>
      </c>
      <c r="T447" s="167">
        <f t="shared" si="108"/>
        <v>0</v>
      </c>
      <c r="U447" s="167">
        <f t="shared" si="109"/>
        <v>0</v>
      </c>
      <c r="V447" s="167">
        <f t="shared" si="110"/>
        <v>0</v>
      </c>
    </row>
    <row r="448" spans="1:22" s="97" customFormat="1" ht="20.100000000000001" customHeight="1">
      <c r="A448" s="222"/>
      <c r="B448" s="178" t="s">
        <v>193</v>
      </c>
      <c r="C448" s="230" t="s">
        <v>954</v>
      </c>
      <c r="D448" s="230" t="s">
        <v>90</v>
      </c>
      <c r="E448" s="252">
        <f>E449</f>
        <v>13185.8</v>
      </c>
      <c r="F448" s="252">
        <f>F449</f>
        <v>1952.5500000000002</v>
      </c>
      <c r="G448" s="252">
        <f>G449</f>
        <v>1952.5500000000002</v>
      </c>
      <c r="H448" s="252">
        <v>13185.8</v>
      </c>
      <c r="I448" s="252">
        <v>1952.5500000000002</v>
      </c>
      <c r="J448" s="252">
        <v>1952.5500000000002</v>
      </c>
      <c r="K448" s="178" t="s">
        <v>193</v>
      </c>
      <c r="L448" s="230" t="s">
        <v>954</v>
      </c>
      <c r="M448" s="230" t="s">
        <v>90</v>
      </c>
      <c r="N448" s="252">
        <v>13052.689999999999</v>
      </c>
      <c r="O448" s="252">
        <v>1952.5500000000002</v>
      </c>
      <c r="P448" s="252">
        <v>1952.5500000000002</v>
      </c>
      <c r="Q448" s="101" t="b">
        <f t="shared" si="105"/>
        <v>1</v>
      </c>
      <c r="R448" s="101" t="b">
        <f t="shared" si="106"/>
        <v>1</v>
      </c>
      <c r="S448" s="101" t="b">
        <f t="shared" si="107"/>
        <v>1</v>
      </c>
      <c r="T448" s="167">
        <f t="shared" si="108"/>
        <v>133.11000000000058</v>
      </c>
      <c r="U448" s="167">
        <f t="shared" si="109"/>
        <v>0</v>
      </c>
      <c r="V448" s="167">
        <f t="shared" si="110"/>
        <v>0</v>
      </c>
    </row>
    <row r="449" spans="1:22" s="97" customFormat="1" ht="20.100000000000001" customHeight="1">
      <c r="A449" s="222"/>
      <c r="B449" s="178" t="s">
        <v>145</v>
      </c>
      <c r="C449" s="230" t="s">
        <v>954</v>
      </c>
      <c r="D449" s="239" t="s">
        <v>153</v>
      </c>
      <c r="E449" s="252">
        <f>'Вед-я стр-ра'!H177+'Вед-я стр-ра'!H1109</f>
        <v>13185.8</v>
      </c>
      <c r="F449" s="252">
        <f>'Вед-я стр-ра'!I177+'Вед-я стр-ра'!I1109</f>
        <v>1952.5500000000002</v>
      </c>
      <c r="G449" s="252">
        <f>'Вед-я стр-ра'!J177+'Вед-я стр-ра'!J1109</f>
        <v>1952.5500000000002</v>
      </c>
      <c r="H449" s="252">
        <v>13185.8</v>
      </c>
      <c r="I449" s="252">
        <v>1952.5500000000002</v>
      </c>
      <c r="J449" s="252">
        <v>1952.5500000000002</v>
      </c>
      <c r="K449" s="178" t="s">
        <v>145</v>
      </c>
      <c r="L449" s="230" t="s">
        <v>954</v>
      </c>
      <c r="M449" s="239" t="s">
        <v>153</v>
      </c>
      <c r="N449" s="252">
        <v>13052.689999999999</v>
      </c>
      <c r="O449" s="252">
        <v>1952.5500000000002</v>
      </c>
      <c r="P449" s="252">
        <v>1952.5500000000002</v>
      </c>
      <c r="Q449" s="101" t="b">
        <f t="shared" si="105"/>
        <v>1</v>
      </c>
      <c r="R449" s="101" t="b">
        <f t="shared" si="106"/>
        <v>1</v>
      </c>
      <c r="S449" s="101" t="b">
        <f t="shared" si="107"/>
        <v>1</v>
      </c>
      <c r="T449" s="167">
        <f t="shared" si="108"/>
        <v>133.11000000000058</v>
      </c>
      <c r="U449" s="167">
        <f t="shared" si="109"/>
        <v>0</v>
      </c>
      <c r="V449" s="167">
        <f t="shared" si="110"/>
        <v>0</v>
      </c>
    </row>
    <row r="450" spans="1:22" s="97" customFormat="1" ht="20.100000000000001" customHeight="1">
      <c r="A450" s="222"/>
      <c r="B450" s="178" t="s">
        <v>194</v>
      </c>
      <c r="C450" s="230" t="s">
        <v>957</v>
      </c>
      <c r="D450" s="230" t="s">
        <v>90</v>
      </c>
      <c r="E450" s="252">
        <f>E451</f>
        <v>3528.7999999999997</v>
      </c>
      <c r="F450" s="252">
        <f>F451</f>
        <v>2725.59</v>
      </c>
      <c r="G450" s="252">
        <f>G451</f>
        <v>2766.7200000000003</v>
      </c>
      <c r="H450" s="252">
        <v>3528.7999999999997</v>
      </c>
      <c r="I450" s="252">
        <v>2725.59</v>
      </c>
      <c r="J450" s="252">
        <v>2766.7200000000003</v>
      </c>
      <c r="K450" s="178" t="s">
        <v>194</v>
      </c>
      <c r="L450" s="230" t="s">
        <v>957</v>
      </c>
      <c r="M450" s="230" t="s">
        <v>90</v>
      </c>
      <c r="N450" s="252">
        <v>3528.7999999999997</v>
      </c>
      <c r="O450" s="252">
        <v>2725.59</v>
      </c>
      <c r="P450" s="252">
        <v>2766.7200000000003</v>
      </c>
      <c r="Q450" s="101" t="b">
        <f t="shared" si="105"/>
        <v>1</v>
      </c>
      <c r="R450" s="101" t="b">
        <f t="shared" si="106"/>
        <v>1</v>
      </c>
      <c r="S450" s="101" t="b">
        <f t="shared" si="107"/>
        <v>1</v>
      </c>
      <c r="T450" s="167">
        <f t="shared" si="108"/>
        <v>0</v>
      </c>
      <c r="U450" s="167">
        <f t="shared" si="109"/>
        <v>0</v>
      </c>
      <c r="V450" s="167">
        <f t="shared" si="110"/>
        <v>0</v>
      </c>
    </row>
    <row r="451" spans="1:22" s="97" customFormat="1" ht="20.100000000000001" customHeight="1">
      <c r="A451" s="222"/>
      <c r="B451" s="180" t="s">
        <v>145</v>
      </c>
      <c r="C451" s="230" t="s">
        <v>957</v>
      </c>
      <c r="D451" s="230">
        <v>240</v>
      </c>
      <c r="E451" s="252">
        <f>'Вед-я стр-ра'!H919+'Вед-я стр-ра'!H991+'Вед-я стр-ра'!H1053</f>
        <v>3528.7999999999997</v>
      </c>
      <c r="F451" s="252">
        <f>'Вед-я стр-ра'!I919+'Вед-я стр-ра'!I991+'Вед-я стр-ра'!I1053</f>
        <v>2725.59</v>
      </c>
      <c r="G451" s="252">
        <f>'Вед-я стр-ра'!J919+'Вед-я стр-ра'!J991+'Вед-я стр-ра'!J1053</f>
        <v>2766.7200000000003</v>
      </c>
      <c r="H451" s="252">
        <v>3528.7999999999997</v>
      </c>
      <c r="I451" s="252">
        <v>2725.59</v>
      </c>
      <c r="J451" s="252">
        <v>2766.7200000000003</v>
      </c>
      <c r="K451" s="180" t="s">
        <v>145</v>
      </c>
      <c r="L451" s="230" t="s">
        <v>957</v>
      </c>
      <c r="M451" s="230">
        <v>240</v>
      </c>
      <c r="N451" s="252">
        <v>3528.7999999999997</v>
      </c>
      <c r="O451" s="252">
        <v>2725.59</v>
      </c>
      <c r="P451" s="252">
        <v>2766.7200000000003</v>
      </c>
      <c r="Q451" s="101" t="b">
        <f t="shared" ref="Q451:Q514" si="126">B451=K451</f>
        <v>1</v>
      </c>
      <c r="R451" s="101" t="b">
        <f t="shared" ref="R451:R514" si="127">C451=L451</f>
        <v>1</v>
      </c>
      <c r="S451" s="101" t="b">
        <f t="shared" ref="S451:S514" si="128">D451=M451</f>
        <v>1</v>
      </c>
      <c r="T451" s="167">
        <f t="shared" ref="T451:T514" si="129">E451-N451</f>
        <v>0</v>
      </c>
      <c r="U451" s="167">
        <f t="shared" ref="U451:U514" si="130">F451-O451</f>
        <v>0</v>
      </c>
      <c r="V451" s="167">
        <f t="shared" ref="V451:V514" si="131">G451-P451</f>
        <v>0</v>
      </c>
    </row>
    <row r="452" spans="1:22" s="97" customFormat="1" ht="20.100000000000001" customHeight="1">
      <c r="A452" s="222"/>
      <c r="B452" s="178" t="s">
        <v>739</v>
      </c>
      <c r="C452" s="230" t="s">
        <v>955</v>
      </c>
      <c r="D452" s="230" t="s">
        <v>90</v>
      </c>
      <c r="E452" s="252">
        <f>E453</f>
        <v>3535</v>
      </c>
      <c r="F452" s="252">
        <f>F453</f>
        <v>3535</v>
      </c>
      <c r="G452" s="252">
        <f>G453</f>
        <v>3535</v>
      </c>
      <c r="H452" s="252">
        <v>3535</v>
      </c>
      <c r="I452" s="252">
        <v>3535</v>
      </c>
      <c r="J452" s="252">
        <v>3535</v>
      </c>
      <c r="K452" s="178" t="s">
        <v>739</v>
      </c>
      <c r="L452" s="230" t="s">
        <v>955</v>
      </c>
      <c r="M452" s="230" t="s">
        <v>90</v>
      </c>
      <c r="N452" s="252">
        <v>3535</v>
      </c>
      <c r="O452" s="252">
        <v>3535</v>
      </c>
      <c r="P452" s="252">
        <v>3535</v>
      </c>
      <c r="Q452" s="101" t="b">
        <f t="shared" si="126"/>
        <v>1</v>
      </c>
      <c r="R452" s="101" t="b">
        <f t="shared" si="127"/>
        <v>1</v>
      </c>
      <c r="S452" s="101" t="b">
        <f t="shared" si="128"/>
        <v>1</v>
      </c>
      <c r="T452" s="167">
        <f t="shared" si="129"/>
        <v>0</v>
      </c>
      <c r="U452" s="167">
        <f t="shared" si="130"/>
        <v>0</v>
      </c>
      <c r="V452" s="167">
        <f t="shared" si="131"/>
        <v>0</v>
      </c>
    </row>
    <row r="453" spans="1:22" s="97" customFormat="1" ht="20.100000000000001" customHeight="1">
      <c r="A453" s="222"/>
      <c r="B453" s="178" t="s">
        <v>145</v>
      </c>
      <c r="C453" s="230" t="s">
        <v>955</v>
      </c>
      <c r="D453" s="230" t="s">
        <v>153</v>
      </c>
      <c r="E453" s="252">
        <f>'Вед-я стр-ра'!H179+'Вед-я стр-ра'!H1055+'Вед-я стр-ра'!H921+'Вед-я стр-ра'!H660+'Вед-я стр-ра'!H1111+'Вед-я стр-ра'!H1249+'Вед-я стр-ра'!H245</f>
        <v>3535</v>
      </c>
      <c r="F453" s="252">
        <f>'Вед-я стр-ра'!I179+'Вед-я стр-ра'!I1055+'Вед-я стр-ра'!I921+'Вед-я стр-ра'!I660+'Вед-я стр-ра'!I1111+'Вед-я стр-ра'!I1249+'Вед-я стр-ра'!I245</f>
        <v>3535</v>
      </c>
      <c r="G453" s="252">
        <f>'Вед-я стр-ра'!J179+'Вед-я стр-ра'!J1055+'Вед-я стр-ра'!J921+'Вед-я стр-ра'!J660+'Вед-я стр-ра'!J1111+'Вед-я стр-ра'!J1249+'Вед-я стр-ра'!J245</f>
        <v>3535</v>
      </c>
      <c r="H453" s="252">
        <v>3535</v>
      </c>
      <c r="I453" s="252">
        <v>3535</v>
      </c>
      <c r="J453" s="252">
        <v>3535</v>
      </c>
      <c r="K453" s="178" t="s">
        <v>145</v>
      </c>
      <c r="L453" s="230" t="s">
        <v>955</v>
      </c>
      <c r="M453" s="230" t="s">
        <v>153</v>
      </c>
      <c r="N453" s="252">
        <v>3535</v>
      </c>
      <c r="O453" s="252">
        <v>3535</v>
      </c>
      <c r="P453" s="252">
        <v>3535</v>
      </c>
      <c r="Q453" s="101" t="b">
        <f t="shared" si="126"/>
        <v>1</v>
      </c>
      <c r="R453" s="101" t="b">
        <f t="shared" si="127"/>
        <v>1</v>
      </c>
      <c r="S453" s="101" t="b">
        <f t="shared" si="128"/>
        <v>1</v>
      </c>
      <c r="T453" s="167">
        <f t="shared" si="129"/>
        <v>0</v>
      </c>
      <c r="U453" s="167">
        <f t="shared" si="130"/>
        <v>0</v>
      </c>
      <c r="V453" s="167">
        <f t="shared" si="131"/>
        <v>0</v>
      </c>
    </row>
    <row r="454" spans="1:22" s="90" customFormat="1" ht="20.100000000000001" customHeight="1">
      <c r="A454" s="347"/>
      <c r="B454" s="178" t="s">
        <v>286</v>
      </c>
      <c r="C454" s="230" t="s">
        <v>288</v>
      </c>
      <c r="D454" s="230" t="s">
        <v>90</v>
      </c>
      <c r="E454" s="252">
        <f>E455</f>
        <v>612</v>
      </c>
      <c r="F454" s="252">
        <f t="shared" ref="F454:G454" si="132">F455</f>
        <v>612</v>
      </c>
      <c r="G454" s="252">
        <f t="shared" si="132"/>
        <v>612</v>
      </c>
      <c r="H454" s="252">
        <v>612</v>
      </c>
      <c r="I454" s="252">
        <v>612</v>
      </c>
      <c r="J454" s="252">
        <v>612</v>
      </c>
      <c r="K454" s="178" t="s">
        <v>286</v>
      </c>
      <c r="L454" s="230" t="s">
        <v>288</v>
      </c>
      <c r="M454" s="230" t="s">
        <v>90</v>
      </c>
      <c r="N454" s="252">
        <v>612</v>
      </c>
      <c r="O454" s="252">
        <v>612</v>
      </c>
      <c r="P454" s="252">
        <v>612</v>
      </c>
      <c r="Q454" s="101" t="b">
        <f t="shared" si="126"/>
        <v>1</v>
      </c>
      <c r="R454" s="101" t="b">
        <f t="shared" si="127"/>
        <v>1</v>
      </c>
      <c r="S454" s="101" t="b">
        <f t="shared" si="128"/>
        <v>1</v>
      </c>
      <c r="T454" s="167">
        <f t="shared" si="129"/>
        <v>0</v>
      </c>
      <c r="U454" s="167">
        <f t="shared" si="130"/>
        <v>0</v>
      </c>
      <c r="V454" s="167">
        <f t="shared" si="131"/>
        <v>0</v>
      </c>
    </row>
    <row r="455" spans="1:22" s="97" customFormat="1" ht="20.100000000000001" customHeight="1">
      <c r="A455" s="222"/>
      <c r="B455" s="182" t="s">
        <v>750</v>
      </c>
      <c r="C455" s="230" t="s">
        <v>956</v>
      </c>
      <c r="D455" s="230" t="s">
        <v>90</v>
      </c>
      <c r="E455" s="252">
        <f>E456</f>
        <v>612</v>
      </c>
      <c r="F455" s="252">
        <f>F456</f>
        <v>612</v>
      </c>
      <c r="G455" s="252">
        <f>G456</f>
        <v>612</v>
      </c>
      <c r="H455" s="252">
        <v>612</v>
      </c>
      <c r="I455" s="252">
        <v>612</v>
      </c>
      <c r="J455" s="252">
        <v>612</v>
      </c>
      <c r="K455" s="182" t="s">
        <v>750</v>
      </c>
      <c r="L455" s="230" t="s">
        <v>956</v>
      </c>
      <c r="M455" s="230" t="s">
        <v>90</v>
      </c>
      <c r="N455" s="252">
        <v>612</v>
      </c>
      <c r="O455" s="252">
        <v>612</v>
      </c>
      <c r="P455" s="252">
        <v>612</v>
      </c>
      <c r="Q455" s="101" t="b">
        <f t="shared" si="126"/>
        <v>1</v>
      </c>
      <c r="R455" s="101" t="b">
        <f t="shared" si="127"/>
        <v>1</v>
      </c>
      <c r="S455" s="101" t="b">
        <f t="shared" si="128"/>
        <v>1</v>
      </c>
      <c r="T455" s="167">
        <f t="shared" si="129"/>
        <v>0</v>
      </c>
      <c r="U455" s="167">
        <f t="shared" si="130"/>
        <v>0</v>
      </c>
      <c r="V455" s="167">
        <f t="shared" si="131"/>
        <v>0</v>
      </c>
    </row>
    <row r="456" spans="1:22" s="97" customFormat="1" ht="20.100000000000001" customHeight="1">
      <c r="A456" s="222"/>
      <c r="B456" s="178" t="s">
        <v>145</v>
      </c>
      <c r="C456" s="230" t="s">
        <v>956</v>
      </c>
      <c r="D456" s="239" t="s">
        <v>153</v>
      </c>
      <c r="E456" s="252">
        <f>'Вед-я стр-ра'!H198</f>
        <v>612</v>
      </c>
      <c r="F456" s="252">
        <f>'Вед-я стр-ра'!I198</f>
        <v>612</v>
      </c>
      <c r="G456" s="252">
        <f>'Вед-я стр-ра'!J198</f>
        <v>612</v>
      </c>
      <c r="H456" s="252">
        <v>612</v>
      </c>
      <c r="I456" s="252">
        <v>612</v>
      </c>
      <c r="J456" s="252">
        <v>612</v>
      </c>
      <c r="K456" s="178" t="s">
        <v>145</v>
      </c>
      <c r="L456" s="230" t="s">
        <v>956</v>
      </c>
      <c r="M456" s="239" t="s">
        <v>153</v>
      </c>
      <c r="N456" s="252">
        <v>612</v>
      </c>
      <c r="O456" s="252">
        <v>612</v>
      </c>
      <c r="P456" s="252">
        <v>612</v>
      </c>
      <c r="Q456" s="101" t="b">
        <f t="shared" si="126"/>
        <v>1</v>
      </c>
      <c r="R456" s="101" t="b">
        <f t="shared" si="127"/>
        <v>1</v>
      </c>
      <c r="S456" s="101" t="b">
        <f t="shared" si="128"/>
        <v>1</v>
      </c>
      <c r="T456" s="167">
        <f t="shared" si="129"/>
        <v>0</v>
      </c>
      <c r="U456" s="167">
        <f t="shared" si="130"/>
        <v>0</v>
      </c>
      <c r="V456" s="167">
        <f t="shared" si="131"/>
        <v>0</v>
      </c>
    </row>
    <row r="457" spans="1:22" s="97" customFormat="1" ht="20.100000000000001" customHeight="1">
      <c r="A457" s="222"/>
      <c r="B457" s="255"/>
      <c r="C457" s="239"/>
      <c r="D457" s="239"/>
      <c r="E457" s="240"/>
      <c r="F457" s="240"/>
      <c r="G457" s="240"/>
      <c r="H457" s="240"/>
      <c r="I457" s="240"/>
      <c r="J457" s="240"/>
      <c r="K457" s="255"/>
      <c r="L457" s="239"/>
      <c r="M457" s="239"/>
      <c r="N457" s="240"/>
      <c r="O457" s="240"/>
      <c r="P457" s="240"/>
      <c r="Q457" s="101" t="b">
        <f t="shared" si="126"/>
        <v>1</v>
      </c>
      <c r="R457" s="101" t="b">
        <f t="shared" si="127"/>
        <v>1</v>
      </c>
      <c r="S457" s="101" t="b">
        <f t="shared" si="128"/>
        <v>1</v>
      </c>
      <c r="T457" s="167">
        <f t="shared" si="129"/>
        <v>0</v>
      </c>
      <c r="U457" s="167">
        <f t="shared" si="130"/>
        <v>0</v>
      </c>
      <c r="V457" s="167">
        <f t="shared" si="131"/>
        <v>0</v>
      </c>
    </row>
    <row r="458" spans="1:22" s="101" customFormat="1" ht="20.100000000000001" customHeight="1">
      <c r="A458" s="345"/>
      <c r="B458" s="42" t="s">
        <v>664</v>
      </c>
      <c r="C458" s="233" t="s">
        <v>241</v>
      </c>
      <c r="D458" s="233" t="s">
        <v>90</v>
      </c>
      <c r="E458" s="234">
        <f>E459+E470+E491+E485</f>
        <v>123823.17</v>
      </c>
      <c r="F458" s="234">
        <f>F459+F470+F491+F485</f>
        <v>123995.45</v>
      </c>
      <c r="G458" s="234">
        <f>G459+G470+G491+G485</f>
        <v>124174.64</v>
      </c>
      <c r="H458" s="234">
        <v>123823.17</v>
      </c>
      <c r="I458" s="234">
        <v>123995.45</v>
      </c>
      <c r="J458" s="234">
        <v>124174.64</v>
      </c>
      <c r="K458" s="42" t="s">
        <v>664</v>
      </c>
      <c r="L458" s="233" t="s">
        <v>241</v>
      </c>
      <c r="M458" s="233" t="s">
        <v>90</v>
      </c>
      <c r="N458" s="234">
        <v>123823.17</v>
      </c>
      <c r="O458" s="234">
        <v>123995.45</v>
      </c>
      <c r="P458" s="234">
        <v>124174.64</v>
      </c>
      <c r="Q458" s="101" t="b">
        <f t="shared" si="126"/>
        <v>1</v>
      </c>
      <c r="R458" s="101" t="b">
        <f t="shared" si="127"/>
        <v>1</v>
      </c>
      <c r="S458" s="101" t="b">
        <f t="shared" si="128"/>
        <v>1</v>
      </c>
      <c r="T458" s="167">
        <f t="shared" si="129"/>
        <v>0</v>
      </c>
      <c r="U458" s="167">
        <f t="shared" si="130"/>
        <v>0</v>
      </c>
      <c r="V458" s="167">
        <f t="shared" si="131"/>
        <v>0</v>
      </c>
    </row>
    <row r="459" spans="1:22" s="102" customFormat="1" ht="20.100000000000001" customHeight="1">
      <c r="A459" s="346"/>
      <c r="B459" s="28" t="s">
        <v>183</v>
      </c>
      <c r="C459" s="236" t="s">
        <v>268</v>
      </c>
      <c r="D459" s="236" t="s">
        <v>90</v>
      </c>
      <c r="E459" s="237">
        <f>E460+E463+E467</f>
        <v>5067</v>
      </c>
      <c r="F459" s="237">
        <f>F460+F463+F467</f>
        <v>5067</v>
      </c>
      <c r="G459" s="237">
        <f>G460+G463+G467</f>
        <v>5067</v>
      </c>
      <c r="H459" s="237">
        <v>5067</v>
      </c>
      <c r="I459" s="237">
        <v>5067</v>
      </c>
      <c r="J459" s="237">
        <v>5067</v>
      </c>
      <c r="K459" s="28" t="s">
        <v>183</v>
      </c>
      <c r="L459" s="236" t="s">
        <v>268</v>
      </c>
      <c r="M459" s="236" t="s">
        <v>90</v>
      </c>
      <c r="N459" s="237">
        <v>5067</v>
      </c>
      <c r="O459" s="237">
        <v>5067</v>
      </c>
      <c r="P459" s="237">
        <v>5067</v>
      </c>
      <c r="Q459" s="101" t="b">
        <f t="shared" si="126"/>
        <v>1</v>
      </c>
      <c r="R459" s="101" t="b">
        <f t="shared" si="127"/>
        <v>1</v>
      </c>
      <c r="S459" s="101" t="b">
        <f t="shared" si="128"/>
        <v>1</v>
      </c>
      <c r="T459" s="167">
        <f t="shared" si="129"/>
        <v>0</v>
      </c>
      <c r="U459" s="167">
        <f t="shared" si="130"/>
        <v>0</v>
      </c>
      <c r="V459" s="167">
        <f t="shared" si="131"/>
        <v>0</v>
      </c>
    </row>
    <row r="460" spans="1:22" s="90" customFormat="1" ht="20.100000000000001" customHeight="1">
      <c r="A460" s="347"/>
      <c r="B460" s="178" t="s">
        <v>517</v>
      </c>
      <c r="C460" s="230" t="s">
        <v>269</v>
      </c>
      <c r="D460" s="230" t="s">
        <v>90</v>
      </c>
      <c r="E460" s="252">
        <f t="shared" ref="E460:G461" si="133">E461</f>
        <v>3510</v>
      </c>
      <c r="F460" s="252">
        <f t="shared" si="133"/>
        <v>3510</v>
      </c>
      <c r="G460" s="252">
        <f t="shared" si="133"/>
        <v>3510</v>
      </c>
      <c r="H460" s="252">
        <v>3510</v>
      </c>
      <c r="I460" s="252">
        <v>3510</v>
      </c>
      <c r="J460" s="252">
        <v>3510</v>
      </c>
      <c r="K460" s="178" t="s">
        <v>517</v>
      </c>
      <c r="L460" s="230" t="s">
        <v>269</v>
      </c>
      <c r="M460" s="230" t="s">
        <v>90</v>
      </c>
      <c r="N460" s="252">
        <v>3510</v>
      </c>
      <c r="O460" s="252">
        <v>3510</v>
      </c>
      <c r="P460" s="252">
        <v>3510</v>
      </c>
      <c r="Q460" s="101" t="b">
        <f t="shared" si="126"/>
        <v>1</v>
      </c>
      <c r="R460" s="101" t="b">
        <f t="shared" si="127"/>
        <v>1</v>
      </c>
      <c r="S460" s="101" t="b">
        <f t="shared" si="128"/>
        <v>1</v>
      </c>
      <c r="T460" s="167">
        <f t="shared" si="129"/>
        <v>0</v>
      </c>
      <c r="U460" s="167">
        <f t="shared" si="130"/>
        <v>0</v>
      </c>
      <c r="V460" s="167">
        <f t="shared" si="131"/>
        <v>0</v>
      </c>
    </row>
    <row r="461" spans="1:22" s="90" customFormat="1" ht="20.100000000000001" customHeight="1">
      <c r="A461" s="347"/>
      <c r="B461" s="178" t="s">
        <v>270</v>
      </c>
      <c r="C461" s="230" t="s">
        <v>271</v>
      </c>
      <c r="D461" s="230" t="s">
        <v>90</v>
      </c>
      <c r="E461" s="252">
        <f t="shared" si="133"/>
        <v>3510</v>
      </c>
      <c r="F461" s="252">
        <f t="shared" si="133"/>
        <v>3510</v>
      </c>
      <c r="G461" s="252">
        <f t="shared" si="133"/>
        <v>3510</v>
      </c>
      <c r="H461" s="252">
        <v>3510</v>
      </c>
      <c r="I461" s="252">
        <v>3510</v>
      </c>
      <c r="J461" s="252">
        <v>3510</v>
      </c>
      <c r="K461" s="178" t="s">
        <v>270</v>
      </c>
      <c r="L461" s="230" t="s">
        <v>271</v>
      </c>
      <c r="M461" s="230" t="s">
        <v>90</v>
      </c>
      <c r="N461" s="252">
        <v>3510</v>
      </c>
      <c r="O461" s="252">
        <v>3510</v>
      </c>
      <c r="P461" s="252">
        <v>3510</v>
      </c>
      <c r="Q461" s="101" t="b">
        <f t="shared" si="126"/>
        <v>1</v>
      </c>
      <c r="R461" s="101" t="b">
        <f t="shared" si="127"/>
        <v>1</v>
      </c>
      <c r="S461" s="101" t="b">
        <f t="shared" si="128"/>
        <v>1</v>
      </c>
      <c r="T461" s="167">
        <f t="shared" si="129"/>
        <v>0</v>
      </c>
      <c r="U461" s="167">
        <f t="shared" si="130"/>
        <v>0</v>
      </c>
      <c r="V461" s="167">
        <f t="shared" si="131"/>
        <v>0</v>
      </c>
    </row>
    <row r="462" spans="1:22" s="90" customFormat="1" ht="20.100000000000001" customHeight="1">
      <c r="A462" s="347"/>
      <c r="B462" s="180" t="s">
        <v>492</v>
      </c>
      <c r="C462" s="230" t="s">
        <v>271</v>
      </c>
      <c r="D462" s="230" t="s">
        <v>139</v>
      </c>
      <c r="E462" s="252">
        <f>'Вед-я стр-ра'!H285</f>
        <v>3510</v>
      </c>
      <c r="F462" s="252">
        <f>'Вед-я стр-ра'!I285</f>
        <v>3510</v>
      </c>
      <c r="G462" s="252">
        <f>'Вед-я стр-ра'!J285</f>
        <v>3510</v>
      </c>
      <c r="H462" s="252">
        <v>3510</v>
      </c>
      <c r="I462" s="252">
        <v>3510</v>
      </c>
      <c r="J462" s="252">
        <v>3510</v>
      </c>
      <c r="K462" s="180" t="s">
        <v>492</v>
      </c>
      <c r="L462" s="230" t="s">
        <v>271</v>
      </c>
      <c r="M462" s="230" t="s">
        <v>139</v>
      </c>
      <c r="N462" s="252">
        <v>3510</v>
      </c>
      <c r="O462" s="252">
        <v>3510</v>
      </c>
      <c r="P462" s="252">
        <v>3510</v>
      </c>
      <c r="Q462" s="101" t="b">
        <f t="shared" si="126"/>
        <v>1</v>
      </c>
      <c r="R462" s="101" t="b">
        <f t="shared" si="127"/>
        <v>1</v>
      </c>
      <c r="S462" s="101" t="b">
        <f t="shared" si="128"/>
        <v>1</v>
      </c>
      <c r="T462" s="167">
        <f t="shared" si="129"/>
        <v>0</v>
      </c>
      <c r="U462" s="167">
        <f t="shared" si="130"/>
        <v>0</v>
      </c>
      <c r="V462" s="167">
        <f t="shared" si="131"/>
        <v>0</v>
      </c>
    </row>
    <row r="463" spans="1:22" s="90" customFormat="1" ht="20.100000000000001" customHeight="1">
      <c r="A463" s="347"/>
      <c r="B463" s="178" t="s">
        <v>272</v>
      </c>
      <c r="C463" s="230" t="s">
        <v>273</v>
      </c>
      <c r="D463" s="230" t="s">
        <v>90</v>
      </c>
      <c r="E463" s="252">
        <f>E464</f>
        <v>1150</v>
      </c>
      <c r="F463" s="252">
        <f>F464</f>
        <v>1150</v>
      </c>
      <c r="G463" s="252">
        <f>G464</f>
        <v>1150</v>
      </c>
      <c r="H463" s="252">
        <v>1150</v>
      </c>
      <c r="I463" s="252">
        <v>1150</v>
      </c>
      <c r="J463" s="252">
        <v>1150</v>
      </c>
      <c r="K463" s="178" t="s">
        <v>272</v>
      </c>
      <c r="L463" s="230" t="s">
        <v>273</v>
      </c>
      <c r="M463" s="230" t="s">
        <v>90</v>
      </c>
      <c r="N463" s="252">
        <v>1150</v>
      </c>
      <c r="O463" s="252">
        <v>1150</v>
      </c>
      <c r="P463" s="252">
        <v>1150</v>
      </c>
      <c r="Q463" s="101" t="b">
        <f t="shared" si="126"/>
        <v>1</v>
      </c>
      <c r="R463" s="101" t="b">
        <f t="shared" si="127"/>
        <v>1</v>
      </c>
      <c r="S463" s="101" t="b">
        <f t="shared" si="128"/>
        <v>1</v>
      </c>
      <c r="T463" s="167">
        <f t="shared" si="129"/>
        <v>0</v>
      </c>
      <c r="U463" s="167">
        <f t="shared" si="130"/>
        <v>0</v>
      </c>
      <c r="V463" s="167">
        <f t="shared" si="131"/>
        <v>0</v>
      </c>
    </row>
    <row r="464" spans="1:22" s="90" customFormat="1" ht="20.100000000000001" customHeight="1">
      <c r="A464" s="347"/>
      <c r="B464" s="54" t="s">
        <v>746</v>
      </c>
      <c r="C464" s="230" t="s">
        <v>274</v>
      </c>
      <c r="D464" s="230" t="s">
        <v>90</v>
      </c>
      <c r="E464" s="252">
        <f>E465+E466</f>
        <v>1150</v>
      </c>
      <c r="F464" s="252">
        <f>F465+F466</f>
        <v>1150</v>
      </c>
      <c r="G464" s="252">
        <f>G465+G466</f>
        <v>1150</v>
      </c>
      <c r="H464" s="252">
        <v>1150</v>
      </c>
      <c r="I464" s="252">
        <v>1150</v>
      </c>
      <c r="J464" s="252">
        <v>1150</v>
      </c>
      <c r="K464" s="54" t="s">
        <v>746</v>
      </c>
      <c r="L464" s="230" t="s">
        <v>274</v>
      </c>
      <c r="M464" s="230" t="s">
        <v>90</v>
      </c>
      <c r="N464" s="252">
        <v>1150</v>
      </c>
      <c r="O464" s="252">
        <v>1150</v>
      </c>
      <c r="P464" s="252">
        <v>1150</v>
      </c>
      <c r="Q464" s="101" t="b">
        <f t="shared" si="126"/>
        <v>1</v>
      </c>
      <c r="R464" s="101" t="b">
        <f t="shared" si="127"/>
        <v>1</v>
      </c>
      <c r="S464" s="101" t="b">
        <f t="shared" si="128"/>
        <v>1</v>
      </c>
      <c r="T464" s="167">
        <f t="shared" si="129"/>
        <v>0</v>
      </c>
      <c r="U464" s="167">
        <f t="shared" si="130"/>
        <v>0</v>
      </c>
      <c r="V464" s="167">
        <f t="shared" si="131"/>
        <v>0</v>
      </c>
    </row>
    <row r="465" spans="1:22" s="90" customFormat="1" ht="20.100000000000001" customHeight="1">
      <c r="A465" s="347"/>
      <c r="B465" s="178" t="s">
        <v>145</v>
      </c>
      <c r="C465" s="230" t="s">
        <v>274</v>
      </c>
      <c r="D465" s="230" t="s">
        <v>153</v>
      </c>
      <c r="E465" s="252">
        <f>'Вед-я стр-ра'!H288</f>
        <v>70</v>
      </c>
      <c r="F465" s="252">
        <f>'Вед-я стр-ра'!I288</f>
        <v>70</v>
      </c>
      <c r="G465" s="252">
        <f>'Вед-я стр-ра'!J288</f>
        <v>70</v>
      </c>
      <c r="H465" s="252">
        <v>70</v>
      </c>
      <c r="I465" s="252">
        <v>70</v>
      </c>
      <c r="J465" s="252">
        <v>70</v>
      </c>
      <c r="K465" s="178" t="s">
        <v>145</v>
      </c>
      <c r="L465" s="230" t="s">
        <v>274</v>
      </c>
      <c r="M465" s="230" t="s">
        <v>153</v>
      </c>
      <c r="N465" s="252">
        <v>70</v>
      </c>
      <c r="O465" s="252">
        <v>70</v>
      </c>
      <c r="P465" s="252">
        <v>70</v>
      </c>
      <c r="Q465" s="101" t="b">
        <f t="shared" si="126"/>
        <v>1</v>
      </c>
      <c r="R465" s="101" t="b">
        <f t="shared" si="127"/>
        <v>1</v>
      </c>
      <c r="S465" s="101" t="b">
        <f t="shared" si="128"/>
        <v>1</v>
      </c>
      <c r="T465" s="167">
        <f t="shared" si="129"/>
        <v>0</v>
      </c>
      <c r="U465" s="167">
        <f t="shared" si="130"/>
        <v>0</v>
      </c>
      <c r="V465" s="167">
        <f t="shared" si="131"/>
        <v>0</v>
      </c>
    </row>
    <row r="466" spans="1:22" s="90" customFormat="1" ht="20.100000000000001" customHeight="1">
      <c r="A466" s="347"/>
      <c r="B466" s="180" t="s">
        <v>148</v>
      </c>
      <c r="C466" s="230" t="s">
        <v>274</v>
      </c>
      <c r="D466" s="230">
        <v>630</v>
      </c>
      <c r="E466" s="252">
        <f>'Вед-я стр-ра'!H289</f>
        <v>1080</v>
      </c>
      <c r="F466" s="252">
        <f>'Вед-я стр-ра'!I289</f>
        <v>1080</v>
      </c>
      <c r="G466" s="252">
        <f>'Вед-я стр-ра'!J289</f>
        <v>1080</v>
      </c>
      <c r="H466" s="252">
        <v>1080</v>
      </c>
      <c r="I466" s="252">
        <v>1080</v>
      </c>
      <c r="J466" s="252">
        <v>1080</v>
      </c>
      <c r="K466" s="180" t="s">
        <v>148</v>
      </c>
      <c r="L466" s="230" t="s">
        <v>274</v>
      </c>
      <c r="M466" s="230">
        <v>630</v>
      </c>
      <c r="N466" s="252">
        <v>1080</v>
      </c>
      <c r="O466" s="252">
        <v>1080</v>
      </c>
      <c r="P466" s="252">
        <v>1080</v>
      </c>
      <c r="Q466" s="101" t="b">
        <f t="shared" si="126"/>
        <v>1</v>
      </c>
      <c r="R466" s="101" t="b">
        <f t="shared" si="127"/>
        <v>1</v>
      </c>
      <c r="S466" s="101" t="b">
        <f t="shared" si="128"/>
        <v>1</v>
      </c>
      <c r="T466" s="167">
        <f t="shared" si="129"/>
        <v>0</v>
      </c>
      <c r="U466" s="167">
        <f t="shared" si="130"/>
        <v>0</v>
      </c>
      <c r="V466" s="167">
        <f t="shared" si="131"/>
        <v>0</v>
      </c>
    </row>
    <row r="467" spans="1:22" s="90" customFormat="1" ht="20.100000000000001" customHeight="1">
      <c r="A467" s="347"/>
      <c r="B467" s="178" t="s">
        <v>525</v>
      </c>
      <c r="C467" s="230" t="s">
        <v>275</v>
      </c>
      <c r="D467" s="230" t="s">
        <v>90</v>
      </c>
      <c r="E467" s="252">
        <f t="shared" ref="E467:G468" si="134">E468</f>
        <v>407</v>
      </c>
      <c r="F467" s="252">
        <f t="shared" si="134"/>
        <v>407</v>
      </c>
      <c r="G467" s="252">
        <f t="shared" si="134"/>
        <v>407</v>
      </c>
      <c r="H467" s="252">
        <v>407</v>
      </c>
      <c r="I467" s="252">
        <v>407</v>
      </c>
      <c r="J467" s="252">
        <v>407</v>
      </c>
      <c r="K467" s="178" t="s">
        <v>525</v>
      </c>
      <c r="L467" s="230" t="s">
        <v>275</v>
      </c>
      <c r="M467" s="230" t="s">
        <v>90</v>
      </c>
      <c r="N467" s="252">
        <v>407</v>
      </c>
      <c r="O467" s="252">
        <v>407</v>
      </c>
      <c r="P467" s="252">
        <v>407</v>
      </c>
      <c r="Q467" s="101" t="b">
        <f t="shared" si="126"/>
        <v>1</v>
      </c>
      <c r="R467" s="101" t="b">
        <f t="shared" si="127"/>
        <v>1</v>
      </c>
      <c r="S467" s="101" t="b">
        <f t="shared" si="128"/>
        <v>1</v>
      </c>
      <c r="T467" s="167">
        <f t="shared" si="129"/>
        <v>0</v>
      </c>
      <c r="U467" s="167">
        <f t="shared" si="130"/>
        <v>0</v>
      </c>
      <c r="V467" s="167">
        <f t="shared" si="131"/>
        <v>0</v>
      </c>
    </row>
    <row r="468" spans="1:22" s="90" customFormat="1" ht="20.100000000000001" customHeight="1">
      <c r="A468" s="347"/>
      <c r="B468" s="54" t="s">
        <v>746</v>
      </c>
      <c r="C468" s="230" t="s">
        <v>276</v>
      </c>
      <c r="D468" s="230" t="s">
        <v>90</v>
      </c>
      <c r="E468" s="252">
        <f t="shared" si="134"/>
        <v>407</v>
      </c>
      <c r="F468" s="252">
        <f t="shared" si="134"/>
        <v>407</v>
      </c>
      <c r="G468" s="252">
        <f t="shared" si="134"/>
        <v>407</v>
      </c>
      <c r="H468" s="252">
        <v>407</v>
      </c>
      <c r="I468" s="252">
        <v>407</v>
      </c>
      <c r="J468" s="252">
        <v>407</v>
      </c>
      <c r="K468" s="54" t="s">
        <v>746</v>
      </c>
      <c r="L468" s="230" t="s">
        <v>276</v>
      </c>
      <c r="M468" s="230" t="s">
        <v>90</v>
      </c>
      <c r="N468" s="252">
        <v>407</v>
      </c>
      <c r="O468" s="252">
        <v>407</v>
      </c>
      <c r="P468" s="252">
        <v>407</v>
      </c>
      <c r="Q468" s="101" t="b">
        <f t="shared" si="126"/>
        <v>1</v>
      </c>
      <c r="R468" s="101" t="b">
        <f t="shared" si="127"/>
        <v>1</v>
      </c>
      <c r="S468" s="101" t="b">
        <f t="shared" si="128"/>
        <v>1</v>
      </c>
      <c r="T468" s="167">
        <f t="shared" si="129"/>
        <v>0</v>
      </c>
      <c r="U468" s="167">
        <f t="shared" si="130"/>
        <v>0</v>
      </c>
      <c r="V468" s="167">
        <f t="shared" si="131"/>
        <v>0</v>
      </c>
    </row>
    <row r="469" spans="1:22" s="90" customFormat="1" ht="20.100000000000001" customHeight="1">
      <c r="A469" s="347"/>
      <c r="B469" s="180" t="s">
        <v>145</v>
      </c>
      <c r="C469" s="230" t="s">
        <v>276</v>
      </c>
      <c r="D469" s="230" t="s">
        <v>153</v>
      </c>
      <c r="E469" s="252">
        <f>'Вед-я стр-ра'!H292</f>
        <v>407</v>
      </c>
      <c r="F469" s="252">
        <f>'Вед-я стр-ра'!I292</f>
        <v>407</v>
      </c>
      <c r="G469" s="252">
        <f>'Вед-я стр-ра'!J292</f>
        <v>407</v>
      </c>
      <c r="H469" s="252">
        <v>407</v>
      </c>
      <c r="I469" s="252">
        <v>407</v>
      </c>
      <c r="J469" s="252">
        <v>407</v>
      </c>
      <c r="K469" s="180" t="s">
        <v>145</v>
      </c>
      <c r="L469" s="230" t="s">
        <v>276</v>
      </c>
      <c r="M469" s="230" t="s">
        <v>153</v>
      </c>
      <c r="N469" s="252">
        <v>407</v>
      </c>
      <c r="O469" s="252">
        <v>407</v>
      </c>
      <c r="P469" s="252">
        <v>407</v>
      </c>
      <c r="Q469" s="101" t="b">
        <f t="shared" si="126"/>
        <v>1</v>
      </c>
      <c r="R469" s="101" t="b">
        <f t="shared" si="127"/>
        <v>1</v>
      </c>
      <c r="S469" s="101" t="b">
        <f t="shared" si="128"/>
        <v>1</v>
      </c>
      <c r="T469" s="167">
        <f t="shared" si="129"/>
        <v>0</v>
      </c>
      <c r="U469" s="167">
        <f t="shared" si="130"/>
        <v>0</v>
      </c>
      <c r="V469" s="167">
        <f t="shared" si="131"/>
        <v>0</v>
      </c>
    </row>
    <row r="470" spans="1:22" s="102" customFormat="1" ht="20.100000000000001" customHeight="1">
      <c r="A470" s="346"/>
      <c r="B470" s="28" t="s">
        <v>675</v>
      </c>
      <c r="C470" s="236" t="s">
        <v>242</v>
      </c>
      <c r="D470" s="236" t="s">
        <v>90</v>
      </c>
      <c r="E470" s="237">
        <f>E474+E477+E471+E482</f>
        <v>3194.27</v>
      </c>
      <c r="F470" s="237">
        <f>F474+F477+F471+F482</f>
        <v>3194.27</v>
      </c>
      <c r="G470" s="237">
        <f>G474+G477+G471+G482</f>
        <v>3194.27</v>
      </c>
      <c r="H470" s="237">
        <v>3194.27</v>
      </c>
      <c r="I470" s="237">
        <v>3194.27</v>
      </c>
      <c r="J470" s="237">
        <v>3194.27</v>
      </c>
      <c r="K470" s="28" t="s">
        <v>675</v>
      </c>
      <c r="L470" s="236" t="s">
        <v>242</v>
      </c>
      <c r="M470" s="236" t="s">
        <v>90</v>
      </c>
      <c r="N470" s="237">
        <v>3194.27</v>
      </c>
      <c r="O470" s="237">
        <v>3194.27</v>
      </c>
      <c r="P470" s="237">
        <v>3194.27</v>
      </c>
      <c r="Q470" s="101" t="b">
        <f t="shared" si="126"/>
        <v>1</v>
      </c>
      <c r="R470" s="101" t="b">
        <f t="shared" si="127"/>
        <v>1</v>
      </c>
      <c r="S470" s="101" t="b">
        <f t="shared" si="128"/>
        <v>1</v>
      </c>
      <c r="T470" s="167">
        <f t="shared" si="129"/>
        <v>0</v>
      </c>
      <c r="U470" s="167">
        <f t="shared" si="130"/>
        <v>0</v>
      </c>
      <c r="V470" s="167">
        <f t="shared" si="131"/>
        <v>0</v>
      </c>
    </row>
    <row r="471" spans="1:22" s="90" customFormat="1" ht="20.100000000000001" customHeight="1">
      <c r="A471" s="347"/>
      <c r="B471" s="178" t="s">
        <v>734</v>
      </c>
      <c r="C471" s="230" t="s">
        <v>681</v>
      </c>
      <c r="D471" s="230" t="s">
        <v>90</v>
      </c>
      <c r="E471" s="252">
        <f t="shared" ref="E471:G472" si="135">E472</f>
        <v>72</v>
      </c>
      <c r="F471" s="252">
        <f t="shared" si="135"/>
        <v>72</v>
      </c>
      <c r="G471" s="252">
        <f t="shared" si="135"/>
        <v>72</v>
      </c>
      <c r="H471" s="252">
        <v>72</v>
      </c>
      <c r="I471" s="252">
        <v>72</v>
      </c>
      <c r="J471" s="252">
        <v>72</v>
      </c>
      <c r="K471" s="178" t="s">
        <v>734</v>
      </c>
      <c r="L471" s="230" t="s">
        <v>681</v>
      </c>
      <c r="M471" s="230" t="s">
        <v>90</v>
      </c>
      <c r="N471" s="252">
        <v>72</v>
      </c>
      <c r="O471" s="252">
        <v>72</v>
      </c>
      <c r="P471" s="252">
        <v>72</v>
      </c>
      <c r="Q471" s="101" t="b">
        <f t="shared" si="126"/>
        <v>1</v>
      </c>
      <c r="R471" s="101" t="b">
        <f t="shared" si="127"/>
        <v>1</v>
      </c>
      <c r="S471" s="101" t="b">
        <f t="shared" si="128"/>
        <v>1</v>
      </c>
      <c r="T471" s="167">
        <f t="shared" si="129"/>
        <v>0</v>
      </c>
      <c r="U471" s="167">
        <f t="shared" si="130"/>
        <v>0</v>
      </c>
      <c r="V471" s="167">
        <f t="shared" si="131"/>
        <v>0</v>
      </c>
    </row>
    <row r="472" spans="1:22" s="90" customFormat="1" ht="20.100000000000001" customHeight="1">
      <c r="A472" s="347"/>
      <c r="B472" s="54" t="s">
        <v>747</v>
      </c>
      <c r="C472" s="230" t="s">
        <v>682</v>
      </c>
      <c r="D472" s="230" t="s">
        <v>90</v>
      </c>
      <c r="E472" s="252">
        <f t="shared" si="135"/>
        <v>72</v>
      </c>
      <c r="F472" s="252">
        <f t="shared" si="135"/>
        <v>72</v>
      </c>
      <c r="G472" s="252">
        <f t="shared" si="135"/>
        <v>72</v>
      </c>
      <c r="H472" s="252">
        <v>72</v>
      </c>
      <c r="I472" s="252">
        <v>72</v>
      </c>
      <c r="J472" s="252">
        <v>72</v>
      </c>
      <c r="K472" s="54" t="s">
        <v>747</v>
      </c>
      <c r="L472" s="230" t="s">
        <v>682</v>
      </c>
      <c r="M472" s="230" t="s">
        <v>90</v>
      </c>
      <c r="N472" s="252">
        <v>72</v>
      </c>
      <c r="O472" s="252">
        <v>72</v>
      </c>
      <c r="P472" s="252">
        <v>72</v>
      </c>
      <c r="Q472" s="101" t="b">
        <f t="shared" si="126"/>
        <v>1</v>
      </c>
      <c r="R472" s="101" t="b">
        <f t="shared" si="127"/>
        <v>1</v>
      </c>
      <c r="S472" s="101" t="b">
        <f t="shared" si="128"/>
        <v>1</v>
      </c>
      <c r="T472" s="167">
        <f t="shared" si="129"/>
        <v>0</v>
      </c>
      <c r="U472" s="167">
        <f t="shared" si="130"/>
        <v>0</v>
      </c>
      <c r="V472" s="167">
        <f t="shared" si="131"/>
        <v>0</v>
      </c>
    </row>
    <row r="473" spans="1:22" s="90" customFormat="1" ht="20.100000000000001" customHeight="1">
      <c r="A473" s="347"/>
      <c r="B473" s="178" t="s">
        <v>145</v>
      </c>
      <c r="C473" s="230" t="s">
        <v>682</v>
      </c>
      <c r="D473" s="230" t="s">
        <v>153</v>
      </c>
      <c r="E473" s="252">
        <f>'Вед-я стр-ра'!H296</f>
        <v>72</v>
      </c>
      <c r="F473" s="252">
        <f>'Вед-я стр-ра'!I296</f>
        <v>72</v>
      </c>
      <c r="G473" s="252">
        <f>'Вед-я стр-ра'!J296</f>
        <v>72</v>
      </c>
      <c r="H473" s="252">
        <v>72</v>
      </c>
      <c r="I473" s="252">
        <v>72</v>
      </c>
      <c r="J473" s="252">
        <v>72</v>
      </c>
      <c r="K473" s="178" t="s">
        <v>145</v>
      </c>
      <c r="L473" s="230" t="s">
        <v>682</v>
      </c>
      <c r="M473" s="230" t="s">
        <v>153</v>
      </c>
      <c r="N473" s="252">
        <v>72</v>
      </c>
      <c r="O473" s="252">
        <v>72</v>
      </c>
      <c r="P473" s="252">
        <v>72</v>
      </c>
      <c r="Q473" s="101" t="b">
        <f t="shared" si="126"/>
        <v>1</v>
      </c>
      <c r="R473" s="101" t="b">
        <f t="shared" si="127"/>
        <v>1</v>
      </c>
      <c r="S473" s="101" t="b">
        <f t="shared" si="128"/>
        <v>1</v>
      </c>
      <c r="T473" s="167">
        <f t="shared" si="129"/>
        <v>0</v>
      </c>
      <c r="U473" s="167">
        <f t="shared" si="130"/>
        <v>0</v>
      </c>
      <c r="V473" s="167">
        <f t="shared" si="131"/>
        <v>0</v>
      </c>
    </row>
    <row r="474" spans="1:22" s="90" customFormat="1" ht="20.100000000000001" customHeight="1">
      <c r="A474" s="347"/>
      <c r="B474" s="178" t="s">
        <v>735</v>
      </c>
      <c r="C474" s="230" t="s">
        <v>277</v>
      </c>
      <c r="D474" s="230" t="s">
        <v>90</v>
      </c>
      <c r="E474" s="252">
        <f t="shared" ref="E474:G475" si="136">E475</f>
        <v>328.5</v>
      </c>
      <c r="F474" s="252">
        <f t="shared" si="136"/>
        <v>328.5</v>
      </c>
      <c r="G474" s="252">
        <f t="shared" si="136"/>
        <v>328.5</v>
      </c>
      <c r="H474" s="252">
        <v>328.5</v>
      </c>
      <c r="I474" s="252">
        <v>328.5</v>
      </c>
      <c r="J474" s="252">
        <v>328.5</v>
      </c>
      <c r="K474" s="178" t="s">
        <v>735</v>
      </c>
      <c r="L474" s="230" t="s">
        <v>277</v>
      </c>
      <c r="M474" s="230" t="s">
        <v>90</v>
      </c>
      <c r="N474" s="252">
        <v>328.5</v>
      </c>
      <c r="O474" s="252">
        <v>328.5</v>
      </c>
      <c r="P474" s="252">
        <v>328.5</v>
      </c>
      <c r="Q474" s="101" t="b">
        <f t="shared" si="126"/>
        <v>1</v>
      </c>
      <c r="R474" s="101" t="b">
        <f t="shared" si="127"/>
        <v>1</v>
      </c>
      <c r="S474" s="101" t="b">
        <f t="shared" si="128"/>
        <v>1</v>
      </c>
      <c r="T474" s="167">
        <f t="shared" si="129"/>
        <v>0</v>
      </c>
      <c r="U474" s="167">
        <f t="shared" si="130"/>
        <v>0</v>
      </c>
      <c r="V474" s="167">
        <f t="shared" si="131"/>
        <v>0</v>
      </c>
    </row>
    <row r="475" spans="1:22" s="90" customFormat="1" ht="20.100000000000001" customHeight="1">
      <c r="A475" s="347"/>
      <c r="B475" s="54" t="s">
        <v>748</v>
      </c>
      <c r="C475" s="230" t="s">
        <v>278</v>
      </c>
      <c r="D475" s="230" t="s">
        <v>90</v>
      </c>
      <c r="E475" s="252">
        <f t="shared" si="136"/>
        <v>328.5</v>
      </c>
      <c r="F475" s="252">
        <f t="shared" si="136"/>
        <v>328.5</v>
      </c>
      <c r="G475" s="252">
        <f t="shared" si="136"/>
        <v>328.5</v>
      </c>
      <c r="H475" s="252">
        <v>328.5</v>
      </c>
      <c r="I475" s="252">
        <v>328.5</v>
      </c>
      <c r="J475" s="252">
        <v>328.5</v>
      </c>
      <c r="K475" s="54" t="s">
        <v>748</v>
      </c>
      <c r="L475" s="230" t="s">
        <v>278</v>
      </c>
      <c r="M475" s="230" t="s">
        <v>90</v>
      </c>
      <c r="N475" s="252">
        <v>328.5</v>
      </c>
      <c r="O475" s="252">
        <v>328.5</v>
      </c>
      <c r="P475" s="252">
        <v>328.5</v>
      </c>
      <c r="Q475" s="101" t="b">
        <f t="shared" si="126"/>
        <v>1</v>
      </c>
      <c r="R475" s="101" t="b">
        <f t="shared" si="127"/>
        <v>1</v>
      </c>
      <c r="S475" s="101" t="b">
        <f t="shared" si="128"/>
        <v>1</v>
      </c>
      <c r="T475" s="167">
        <f t="shared" si="129"/>
        <v>0</v>
      </c>
      <c r="U475" s="167">
        <f t="shared" si="130"/>
        <v>0</v>
      </c>
      <c r="V475" s="167">
        <f t="shared" si="131"/>
        <v>0</v>
      </c>
    </row>
    <row r="476" spans="1:22" s="90" customFormat="1" ht="20.100000000000001" customHeight="1">
      <c r="A476" s="347"/>
      <c r="B476" s="180" t="s">
        <v>145</v>
      </c>
      <c r="C476" s="230" t="s">
        <v>278</v>
      </c>
      <c r="D476" s="230" t="s">
        <v>153</v>
      </c>
      <c r="E476" s="252">
        <f>'Вед-я стр-ра'!H299</f>
        <v>328.5</v>
      </c>
      <c r="F476" s="252">
        <f>'Вед-я стр-ра'!I299</f>
        <v>328.5</v>
      </c>
      <c r="G476" s="252">
        <f>'Вед-я стр-ра'!J299</f>
        <v>328.5</v>
      </c>
      <c r="H476" s="252">
        <v>328.5</v>
      </c>
      <c r="I476" s="252">
        <v>328.5</v>
      </c>
      <c r="J476" s="252">
        <v>328.5</v>
      </c>
      <c r="K476" s="180" t="s">
        <v>145</v>
      </c>
      <c r="L476" s="230" t="s">
        <v>278</v>
      </c>
      <c r="M476" s="230" t="s">
        <v>153</v>
      </c>
      <c r="N476" s="252">
        <v>328.5</v>
      </c>
      <c r="O476" s="252">
        <v>328.5</v>
      </c>
      <c r="P476" s="252">
        <v>328.5</v>
      </c>
      <c r="Q476" s="101" t="b">
        <f t="shared" si="126"/>
        <v>1</v>
      </c>
      <c r="R476" s="101" t="b">
        <f t="shared" si="127"/>
        <v>1</v>
      </c>
      <c r="S476" s="101" t="b">
        <f t="shared" si="128"/>
        <v>1</v>
      </c>
      <c r="T476" s="167">
        <f t="shared" si="129"/>
        <v>0</v>
      </c>
      <c r="U476" s="167">
        <f t="shared" si="130"/>
        <v>0</v>
      </c>
      <c r="V476" s="167">
        <f t="shared" si="131"/>
        <v>0</v>
      </c>
    </row>
    <row r="477" spans="1:22" s="90" customFormat="1" ht="20.100000000000001" customHeight="1">
      <c r="A477" s="347"/>
      <c r="B477" s="178" t="s">
        <v>732</v>
      </c>
      <c r="C477" s="230" t="s">
        <v>243</v>
      </c>
      <c r="D477" s="230" t="s">
        <v>90</v>
      </c>
      <c r="E477" s="252">
        <f>E478+E480</f>
        <v>2613.77</v>
      </c>
      <c r="F477" s="252">
        <f>F478+F480</f>
        <v>2613.77</v>
      </c>
      <c r="G477" s="252">
        <f>G478+G480</f>
        <v>2613.77</v>
      </c>
      <c r="H477" s="252">
        <v>2613.77</v>
      </c>
      <c r="I477" s="252">
        <v>2613.77</v>
      </c>
      <c r="J477" s="252">
        <v>2613.77</v>
      </c>
      <c r="K477" s="178" t="s">
        <v>732</v>
      </c>
      <c r="L477" s="230" t="s">
        <v>243</v>
      </c>
      <c r="M477" s="230" t="s">
        <v>90</v>
      </c>
      <c r="N477" s="252">
        <v>2613.77</v>
      </c>
      <c r="O477" s="252">
        <v>2613.77</v>
      </c>
      <c r="P477" s="252">
        <v>2613.77</v>
      </c>
      <c r="Q477" s="101" t="b">
        <f t="shared" si="126"/>
        <v>1</v>
      </c>
      <c r="R477" s="101" t="b">
        <f t="shared" si="127"/>
        <v>1</v>
      </c>
      <c r="S477" s="101" t="b">
        <f t="shared" si="128"/>
        <v>1</v>
      </c>
      <c r="T477" s="167">
        <f t="shared" si="129"/>
        <v>0</v>
      </c>
      <c r="U477" s="167">
        <f t="shared" si="130"/>
        <v>0</v>
      </c>
      <c r="V477" s="167">
        <f t="shared" si="131"/>
        <v>0</v>
      </c>
    </row>
    <row r="478" spans="1:22" s="90" customFormat="1" ht="20.100000000000001" customHeight="1">
      <c r="A478" s="347"/>
      <c r="B478" s="178" t="s">
        <v>731</v>
      </c>
      <c r="C478" s="230" t="s">
        <v>244</v>
      </c>
      <c r="D478" s="230" t="s">
        <v>90</v>
      </c>
      <c r="E478" s="252">
        <f>E479</f>
        <v>1823.77</v>
      </c>
      <c r="F478" s="252">
        <f>F479</f>
        <v>1823.77</v>
      </c>
      <c r="G478" s="252">
        <f>G479</f>
        <v>1823.77</v>
      </c>
      <c r="H478" s="252">
        <v>1823.77</v>
      </c>
      <c r="I478" s="252">
        <v>1823.77</v>
      </c>
      <c r="J478" s="252">
        <v>1823.77</v>
      </c>
      <c r="K478" s="178" t="s">
        <v>731</v>
      </c>
      <c r="L478" s="230" t="s">
        <v>244</v>
      </c>
      <c r="M478" s="230" t="s">
        <v>90</v>
      </c>
      <c r="N478" s="252">
        <v>1823.77</v>
      </c>
      <c r="O478" s="252">
        <v>1823.77</v>
      </c>
      <c r="P478" s="252">
        <v>1823.77</v>
      </c>
      <c r="Q478" s="101" t="b">
        <f t="shared" si="126"/>
        <v>1</v>
      </c>
      <c r="R478" s="101" t="b">
        <f t="shared" si="127"/>
        <v>1</v>
      </c>
      <c r="S478" s="101" t="b">
        <f t="shared" si="128"/>
        <v>1</v>
      </c>
      <c r="T478" s="167">
        <f t="shared" si="129"/>
        <v>0</v>
      </c>
      <c r="U478" s="167">
        <f t="shared" si="130"/>
        <v>0</v>
      </c>
      <c r="V478" s="167">
        <f t="shared" si="131"/>
        <v>0</v>
      </c>
    </row>
    <row r="479" spans="1:22" s="90" customFormat="1" ht="20.100000000000001" customHeight="1">
      <c r="A479" s="347"/>
      <c r="B479" s="178" t="s">
        <v>137</v>
      </c>
      <c r="C479" s="230" t="s">
        <v>244</v>
      </c>
      <c r="D479" s="230" t="s">
        <v>155</v>
      </c>
      <c r="E479" s="252">
        <f>'Вед-я стр-ра'!H70</f>
        <v>1823.77</v>
      </c>
      <c r="F479" s="252">
        <f>'Вед-я стр-ра'!I70</f>
        <v>1823.77</v>
      </c>
      <c r="G479" s="252">
        <f>'Вед-я стр-ра'!J70</f>
        <v>1823.77</v>
      </c>
      <c r="H479" s="252">
        <v>1823.77</v>
      </c>
      <c r="I479" s="252">
        <v>1823.77</v>
      </c>
      <c r="J479" s="252">
        <v>1823.77</v>
      </c>
      <c r="K479" s="178" t="s">
        <v>137</v>
      </c>
      <c r="L479" s="230" t="s">
        <v>244</v>
      </c>
      <c r="M479" s="230" t="s">
        <v>155</v>
      </c>
      <c r="N479" s="252">
        <v>1823.77</v>
      </c>
      <c r="O479" s="252">
        <v>1823.77</v>
      </c>
      <c r="P479" s="252">
        <v>1823.77</v>
      </c>
      <c r="Q479" s="101" t="b">
        <f t="shared" si="126"/>
        <v>1</v>
      </c>
      <c r="R479" s="101" t="b">
        <f t="shared" si="127"/>
        <v>1</v>
      </c>
      <c r="S479" s="101" t="b">
        <f t="shared" si="128"/>
        <v>1</v>
      </c>
      <c r="T479" s="167">
        <f t="shared" si="129"/>
        <v>0</v>
      </c>
      <c r="U479" s="167">
        <f t="shared" si="130"/>
        <v>0</v>
      </c>
      <c r="V479" s="167">
        <f t="shared" si="131"/>
        <v>0</v>
      </c>
    </row>
    <row r="480" spans="1:22" s="90" customFormat="1" ht="20.100000000000001" customHeight="1">
      <c r="A480" s="347"/>
      <c r="B480" s="178" t="s">
        <v>733</v>
      </c>
      <c r="C480" s="230" t="s">
        <v>245</v>
      </c>
      <c r="D480" s="230" t="s">
        <v>90</v>
      </c>
      <c r="E480" s="252">
        <f>E481</f>
        <v>790</v>
      </c>
      <c r="F480" s="252">
        <f>F481</f>
        <v>790</v>
      </c>
      <c r="G480" s="252">
        <f>G481</f>
        <v>790</v>
      </c>
      <c r="H480" s="252">
        <v>790</v>
      </c>
      <c r="I480" s="252">
        <v>790</v>
      </c>
      <c r="J480" s="252">
        <v>790</v>
      </c>
      <c r="K480" s="178" t="s">
        <v>733</v>
      </c>
      <c r="L480" s="230" t="s">
        <v>245</v>
      </c>
      <c r="M480" s="230" t="s">
        <v>90</v>
      </c>
      <c r="N480" s="252">
        <v>790</v>
      </c>
      <c r="O480" s="252">
        <v>790</v>
      </c>
      <c r="P480" s="252">
        <v>790</v>
      </c>
      <c r="Q480" s="101" t="b">
        <f t="shared" si="126"/>
        <v>1</v>
      </c>
      <c r="R480" s="101" t="b">
        <f t="shared" si="127"/>
        <v>1</v>
      </c>
      <c r="S480" s="101" t="b">
        <f t="shared" si="128"/>
        <v>1</v>
      </c>
      <c r="T480" s="167">
        <f t="shared" si="129"/>
        <v>0</v>
      </c>
      <c r="U480" s="167">
        <f t="shared" si="130"/>
        <v>0</v>
      </c>
      <c r="V480" s="167">
        <f t="shared" si="131"/>
        <v>0</v>
      </c>
    </row>
    <row r="481" spans="1:22" s="90" customFormat="1" ht="20.100000000000001" customHeight="1">
      <c r="A481" s="347"/>
      <c r="B481" s="178" t="s">
        <v>145</v>
      </c>
      <c r="C481" s="230" t="s">
        <v>245</v>
      </c>
      <c r="D481" s="230" t="s">
        <v>153</v>
      </c>
      <c r="E481" s="252">
        <f>'Вед-я стр-ра'!H72</f>
        <v>790</v>
      </c>
      <c r="F481" s="252">
        <f>'Вед-я стр-ра'!I72</f>
        <v>790</v>
      </c>
      <c r="G481" s="252">
        <f>'Вед-я стр-ра'!J72</f>
        <v>790</v>
      </c>
      <c r="H481" s="252">
        <v>790</v>
      </c>
      <c r="I481" s="252">
        <v>790</v>
      </c>
      <c r="J481" s="252">
        <v>790</v>
      </c>
      <c r="K481" s="178" t="s">
        <v>145</v>
      </c>
      <c r="L481" s="230" t="s">
        <v>245</v>
      </c>
      <c r="M481" s="230" t="s">
        <v>153</v>
      </c>
      <c r="N481" s="252">
        <v>790</v>
      </c>
      <c r="O481" s="252">
        <v>790</v>
      </c>
      <c r="P481" s="252">
        <v>790</v>
      </c>
      <c r="Q481" s="101" t="b">
        <f t="shared" si="126"/>
        <v>1</v>
      </c>
      <c r="R481" s="101" t="b">
        <f t="shared" si="127"/>
        <v>1</v>
      </c>
      <c r="S481" s="101" t="b">
        <f t="shared" si="128"/>
        <v>1</v>
      </c>
      <c r="T481" s="167">
        <f t="shared" si="129"/>
        <v>0</v>
      </c>
      <c r="U481" s="167">
        <f t="shared" si="130"/>
        <v>0</v>
      </c>
      <c r="V481" s="167">
        <f t="shared" si="131"/>
        <v>0</v>
      </c>
    </row>
    <row r="482" spans="1:22" s="90" customFormat="1" ht="20.100000000000001" customHeight="1">
      <c r="A482" s="347"/>
      <c r="B482" s="182" t="s">
        <v>915</v>
      </c>
      <c r="C482" s="37" t="s">
        <v>897</v>
      </c>
      <c r="D482" s="37" t="s">
        <v>90</v>
      </c>
      <c r="E482" s="183">
        <f t="shared" ref="E482:G483" si="137">E483</f>
        <v>180</v>
      </c>
      <c r="F482" s="183">
        <f t="shared" si="137"/>
        <v>180</v>
      </c>
      <c r="G482" s="183">
        <f t="shared" si="137"/>
        <v>180</v>
      </c>
      <c r="H482" s="183">
        <v>180</v>
      </c>
      <c r="I482" s="183">
        <v>180</v>
      </c>
      <c r="J482" s="183">
        <v>180</v>
      </c>
      <c r="K482" s="182" t="s">
        <v>915</v>
      </c>
      <c r="L482" s="37" t="s">
        <v>897</v>
      </c>
      <c r="M482" s="37" t="s">
        <v>90</v>
      </c>
      <c r="N482" s="183">
        <v>180</v>
      </c>
      <c r="O482" s="183">
        <v>180</v>
      </c>
      <c r="P482" s="183">
        <v>180</v>
      </c>
      <c r="Q482" s="101" t="b">
        <f t="shared" si="126"/>
        <v>1</v>
      </c>
      <c r="R482" s="101" t="b">
        <f t="shared" si="127"/>
        <v>1</v>
      </c>
      <c r="S482" s="101" t="b">
        <f t="shared" si="128"/>
        <v>1</v>
      </c>
      <c r="T482" s="167">
        <f t="shared" si="129"/>
        <v>0</v>
      </c>
      <c r="U482" s="167">
        <f t="shared" si="130"/>
        <v>0</v>
      </c>
      <c r="V482" s="167">
        <f t="shared" si="131"/>
        <v>0</v>
      </c>
    </row>
    <row r="483" spans="1:22" s="90" customFormat="1" ht="20.100000000000001" customHeight="1">
      <c r="A483" s="347"/>
      <c r="B483" s="182" t="s">
        <v>931</v>
      </c>
      <c r="C483" s="37" t="s">
        <v>898</v>
      </c>
      <c r="D483" s="37" t="s">
        <v>90</v>
      </c>
      <c r="E483" s="183">
        <f t="shared" si="137"/>
        <v>180</v>
      </c>
      <c r="F483" s="183">
        <f t="shared" si="137"/>
        <v>180</v>
      </c>
      <c r="G483" s="183">
        <f t="shared" si="137"/>
        <v>180</v>
      </c>
      <c r="H483" s="183">
        <v>180</v>
      </c>
      <c r="I483" s="183">
        <v>180</v>
      </c>
      <c r="J483" s="183">
        <v>180</v>
      </c>
      <c r="K483" s="182" t="s">
        <v>931</v>
      </c>
      <c r="L483" s="37" t="s">
        <v>898</v>
      </c>
      <c r="M483" s="37" t="s">
        <v>90</v>
      </c>
      <c r="N483" s="183">
        <v>180</v>
      </c>
      <c r="O483" s="183">
        <v>180</v>
      </c>
      <c r="P483" s="183">
        <v>180</v>
      </c>
      <c r="Q483" s="101" t="b">
        <f t="shared" si="126"/>
        <v>1</v>
      </c>
      <c r="R483" s="101" t="b">
        <f t="shared" si="127"/>
        <v>1</v>
      </c>
      <c r="S483" s="101" t="b">
        <f t="shared" si="128"/>
        <v>1</v>
      </c>
      <c r="T483" s="167">
        <f t="shared" si="129"/>
        <v>0</v>
      </c>
      <c r="U483" s="167">
        <f t="shared" si="130"/>
        <v>0</v>
      </c>
      <c r="V483" s="167">
        <f t="shared" si="131"/>
        <v>0</v>
      </c>
    </row>
    <row r="484" spans="1:22" s="90" customFormat="1" ht="20.100000000000001" customHeight="1">
      <c r="A484" s="347"/>
      <c r="B484" s="182" t="s">
        <v>145</v>
      </c>
      <c r="C484" s="37" t="s">
        <v>898</v>
      </c>
      <c r="D484" s="37" t="s">
        <v>153</v>
      </c>
      <c r="E484" s="183">
        <f>'Вед-я стр-ра'!H302</f>
        <v>180</v>
      </c>
      <c r="F484" s="183">
        <f>'Вед-я стр-ра'!I302</f>
        <v>180</v>
      </c>
      <c r="G484" s="183">
        <f>'Вед-я стр-ра'!J302</f>
        <v>180</v>
      </c>
      <c r="H484" s="183">
        <v>180</v>
      </c>
      <c r="I484" s="183">
        <v>180</v>
      </c>
      <c r="J484" s="183">
        <v>180</v>
      </c>
      <c r="K484" s="182" t="s">
        <v>145</v>
      </c>
      <c r="L484" s="37" t="s">
        <v>898</v>
      </c>
      <c r="M484" s="37" t="s">
        <v>153</v>
      </c>
      <c r="N484" s="183">
        <v>180</v>
      </c>
      <c r="O484" s="183">
        <v>180</v>
      </c>
      <c r="P484" s="183">
        <v>180</v>
      </c>
      <c r="Q484" s="101" t="b">
        <f t="shared" si="126"/>
        <v>1</v>
      </c>
      <c r="R484" s="101" t="b">
        <f t="shared" si="127"/>
        <v>1</v>
      </c>
      <c r="S484" s="101" t="b">
        <f t="shared" si="128"/>
        <v>1</v>
      </c>
      <c r="T484" s="167">
        <f t="shared" si="129"/>
        <v>0</v>
      </c>
      <c r="U484" s="167">
        <f t="shared" si="130"/>
        <v>0</v>
      </c>
      <c r="V484" s="167">
        <f t="shared" si="131"/>
        <v>0</v>
      </c>
    </row>
    <row r="485" spans="1:22" s="90" customFormat="1" ht="20.100000000000001" customHeight="1">
      <c r="A485" s="347"/>
      <c r="B485" s="28" t="s">
        <v>1051</v>
      </c>
      <c r="C485" s="236" t="s">
        <v>1050</v>
      </c>
      <c r="D485" s="236" t="s">
        <v>90</v>
      </c>
      <c r="E485" s="237">
        <f>E486</f>
        <v>4408.01</v>
      </c>
      <c r="F485" s="237">
        <f>F486</f>
        <v>4408.01</v>
      </c>
      <c r="G485" s="237">
        <f>G486</f>
        <v>4408.01</v>
      </c>
      <c r="H485" s="237">
        <v>4408.01</v>
      </c>
      <c r="I485" s="237">
        <v>4408.01</v>
      </c>
      <c r="J485" s="237">
        <v>4408.01</v>
      </c>
      <c r="K485" s="28" t="s">
        <v>1051</v>
      </c>
      <c r="L485" s="236" t="s">
        <v>1050</v>
      </c>
      <c r="M485" s="236" t="s">
        <v>90</v>
      </c>
      <c r="N485" s="237">
        <v>4408.01</v>
      </c>
      <c r="O485" s="237">
        <v>4408.01</v>
      </c>
      <c r="P485" s="237">
        <v>4408.01</v>
      </c>
      <c r="Q485" s="101" t="b">
        <f t="shared" si="126"/>
        <v>1</v>
      </c>
      <c r="R485" s="101" t="b">
        <f t="shared" si="127"/>
        <v>1</v>
      </c>
      <c r="S485" s="101" t="b">
        <f t="shared" si="128"/>
        <v>1</v>
      </c>
      <c r="T485" s="167">
        <f t="shared" si="129"/>
        <v>0</v>
      </c>
      <c r="U485" s="167">
        <f t="shared" si="130"/>
        <v>0</v>
      </c>
      <c r="V485" s="167">
        <f t="shared" si="131"/>
        <v>0</v>
      </c>
    </row>
    <row r="486" spans="1:22" s="90" customFormat="1" ht="20.100000000000001" customHeight="1">
      <c r="A486" s="347"/>
      <c r="B486" s="182" t="s">
        <v>1053</v>
      </c>
      <c r="C486" s="37" t="s">
        <v>1052</v>
      </c>
      <c r="D486" s="37" t="s">
        <v>90</v>
      </c>
      <c r="E486" s="183">
        <f>E487+E489</f>
        <v>4408.01</v>
      </c>
      <c r="F486" s="183">
        <f>F487+F489</f>
        <v>4408.01</v>
      </c>
      <c r="G486" s="183">
        <f>G487+G489</f>
        <v>4408.01</v>
      </c>
      <c r="H486" s="183">
        <v>4408.01</v>
      </c>
      <c r="I486" s="183">
        <v>4408.01</v>
      </c>
      <c r="J486" s="183">
        <v>4408.01</v>
      </c>
      <c r="K486" s="182" t="s">
        <v>1053</v>
      </c>
      <c r="L486" s="37" t="s">
        <v>1052</v>
      </c>
      <c r="M486" s="37" t="s">
        <v>90</v>
      </c>
      <c r="N486" s="183">
        <v>4408.01</v>
      </c>
      <c r="O486" s="183">
        <v>4408.01</v>
      </c>
      <c r="P486" s="183">
        <v>4408.01</v>
      </c>
      <c r="Q486" s="101" t="b">
        <f t="shared" si="126"/>
        <v>1</v>
      </c>
      <c r="R486" s="101" t="b">
        <f t="shared" si="127"/>
        <v>1</v>
      </c>
      <c r="S486" s="101" t="b">
        <f t="shared" si="128"/>
        <v>1</v>
      </c>
      <c r="T486" s="167">
        <f t="shared" si="129"/>
        <v>0</v>
      </c>
      <c r="U486" s="167">
        <f t="shared" si="130"/>
        <v>0</v>
      </c>
      <c r="V486" s="167">
        <f t="shared" si="131"/>
        <v>0</v>
      </c>
    </row>
    <row r="487" spans="1:22" s="90" customFormat="1" ht="20.100000000000001" customHeight="1">
      <c r="A487" s="347"/>
      <c r="B487" s="182" t="s">
        <v>189</v>
      </c>
      <c r="C487" s="37" t="s">
        <v>1054</v>
      </c>
      <c r="D487" s="57" t="s">
        <v>90</v>
      </c>
      <c r="E487" s="58">
        <f>E488</f>
        <v>1096.2</v>
      </c>
      <c r="F487" s="58">
        <f>F488</f>
        <v>1096.2</v>
      </c>
      <c r="G487" s="58">
        <f>G488</f>
        <v>1096.2</v>
      </c>
      <c r="H487" s="58">
        <v>1096.2</v>
      </c>
      <c r="I487" s="58">
        <v>1096.2</v>
      </c>
      <c r="J487" s="58">
        <v>1096.2</v>
      </c>
      <c r="K487" s="182" t="s">
        <v>189</v>
      </c>
      <c r="L487" s="37" t="s">
        <v>1054</v>
      </c>
      <c r="M487" s="57" t="s">
        <v>90</v>
      </c>
      <c r="N487" s="58">
        <v>1096.2</v>
      </c>
      <c r="O487" s="58">
        <v>1096.2</v>
      </c>
      <c r="P487" s="58">
        <v>1096.2</v>
      </c>
      <c r="Q487" s="101" t="b">
        <f t="shared" si="126"/>
        <v>1</v>
      </c>
      <c r="R487" s="101" t="b">
        <f t="shared" si="127"/>
        <v>1</v>
      </c>
      <c r="S487" s="101" t="b">
        <f t="shared" si="128"/>
        <v>1</v>
      </c>
      <c r="T487" s="167">
        <f t="shared" si="129"/>
        <v>0</v>
      </c>
      <c r="U487" s="167">
        <f t="shared" si="130"/>
        <v>0</v>
      </c>
      <c r="V487" s="167">
        <f t="shared" si="131"/>
        <v>0</v>
      </c>
    </row>
    <row r="488" spans="1:22" s="90" customFormat="1" ht="20.100000000000001" customHeight="1">
      <c r="A488" s="347"/>
      <c r="B488" s="182" t="s">
        <v>145</v>
      </c>
      <c r="C488" s="37" t="s">
        <v>1054</v>
      </c>
      <c r="D488" s="37" t="s">
        <v>153</v>
      </c>
      <c r="E488" s="183">
        <f>'Вед-я стр-ра'!H309</f>
        <v>1096.2</v>
      </c>
      <c r="F488" s="183">
        <f>'Вед-я стр-ра'!I309</f>
        <v>1096.2</v>
      </c>
      <c r="G488" s="183">
        <f>'Вед-я стр-ра'!J309</f>
        <v>1096.2</v>
      </c>
      <c r="H488" s="183">
        <v>1096.2</v>
      </c>
      <c r="I488" s="183">
        <v>1096.2</v>
      </c>
      <c r="J488" s="183">
        <v>1096.2</v>
      </c>
      <c r="K488" s="182" t="s">
        <v>145</v>
      </c>
      <c r="L488" s="37" t="s">
        <v>1054</v>
      </c>
      <c r="M488" s="37" t="s">
        <v>153</v>
      </c>
      <c r="N488" s="183">
        <v>1096.2</v>
      </c>
      <c r="O488" s="183">
        <v>1096.2</v>
      </c>
      <c r="P488" s="183">
        <v>1096.2</v>
      </c>
      <c r="Q488" s="101" t="b">
        <f t="shared" si="126"/>
        <v>1</v>
      </c>
      <c r="R488" s="101" t="b">
        <f t="shared" si="127"/>
        <v>1</v>
      </c>
      <c r="S488" s="101" t="b">
        <f t="shared" si="128"/>
        <v>1</v>
      </c>
      <c r="T488" s="167">
        <f t="shared" si="129"/>
        <v>0</v>
      </c>
      <c r="U488" s="167">
        <f t="shared" si="130"/>
        <v>0</v>
      </c>
      <c r="V488" s="167">
        <f t="shared" si="131"/>
        <v>0</v>
      </c>
    </row>
    <row r="489" spans="1:22" s="90" customFormat="1" ht="20.100000000000001" customHeight="1">
      <c r="A489" s="347"/>
      <c r="B489" s="182" t="s">
        <v>315</v>
      </c>
      <c r="C489" s="37" t="s">
        <v>1055</v>
      </c>
      <c r="D489" s="37" t="s">
        <v>90</v>
      </c>
      <c r="E489" s="183">
        <f>E490</f>
        <v>3311.81</v>
      </c>
      <c r="F489" s="183">
        <f>F490</f>
        <v>3311.81</v>
      </c>
      <c r="G489" s="183">
        <f>G490</f>
        <v>3311.81</v>
      </c>
      <c r="H489" s="183">
        <v>3311.81</v>
      </c>
      <c r="I489" s="183">
        <v>3311.81</v>
      </c>
      <c r="J489" s="183">
        <v>3311.81</v>
      </c>
      <c r="K489" s="182" t="s">
        <v>315</v>
      </c>
      <c r="L489" s="37" t="s">
        <v>1055</v>
      </c>
      <c r="M489" s="37" t="s">
        <v>90</v>
      </c>
      <c r="N489" s="183">
        <v>3311.81</v>
      </c>
      <c r="O489" s="183">
        <v>3311.81</v>
      </c>
      <c r="P489" s="183">
        <v>3311.81</v>
      </c>
      <c r="Q489" s="101" t="b">
        <f t="shared" si="126"/>
        <v>1</v>
      </c>
      <c r="R489" s="101" t="b">
        <f t="shared" si="127"/>
        <v>1</v>
      </c>
      <c r="S489" s="101" t="b">
        <f t="shared" si="128"/>
        <v>1</v>
      </c>
      <c r="T489" s="167">
        <f t="shared" si="129"/>
        <v>0</v>
      </c>
      <c r="U489" s="167">
        <f t="shared" si="130"/>
        <v>0</v>
      </c>
      <c r="V489" s="167">
        <f t="shared" si="131"/>
        <v>0</v>
      </c>
    </row>
    <row r="490" spans="1:22" s="90" customFormat="1" ht="20.100000000000001" customHeight="1">
      <c r="A490" s="347"/>
      <c r="B490" s="182" t="s">
        <v>492</v>
      </c>
      <c r="C490" s="37" t="s">
        <v>1055</v>
      </c>
      <c r="D490" s="37" t="s">
        <v>139</v>
      </c>
      <c r="E490" s="183">
        <f>'Вед-я стр-ра'!H316</f>
        <v>3311.81</v>
      </c>
      <c r="F490" s="183">
        <f>'Вед-я стр-ра'!I316</f>
        <v>3311.81</v>
      </c>
      <c r="G490" s="183">
        <f>'Вед-я стр-ра'!J316</f>
        <v>3311.81</v>
      </c>
      <c r="H490" s="183">
        <v>3311.81</v>
      </c>
      <c r="I490" s="183">
        <v>3311.81</v>
      </c>
      <c r="J490" s="183">
        <v>3311.81</v>
      </c>
      <c r="K490" s="182" t="s">
        <v>492</v>
      </c>
      <c r="L490" s="37" t="s">
        <v>1055</v>
      </c>
      <c r="M490" s="37" t="s">
        <v>139</v>
      </c>
      <c r="N490" s="183">
        <v>3311.81</v>
      </c>
      <c r="O490" s="183">
        <v>3311.81</v>
      </c>
      <c r="P490" s="183">
        <v>3311.81</v>
      </c>
      <c r="Q490" s="101" t="b">
        <f t="shared" si="126"/>
        <v>1</v>
      </c>
      <c r="R490" s="101" t="b">
        <f t="shared" si="127"/>
        <v>1</v>
      </c>
      <c r="S490" s="101" t="b">
        <f t="shared" si="128"/>
        <v>1</v>
      </c>
      <c r="T490" s="167">
        <f t="shared" si="129"/>
        <v>0</v>
      </c>
      <c r="U490" s="167">
        <f t="shared" si="130"/>
        <v>0</v>
      </c>
      <c r="V490" s="167">
        <f t="shared" si="131"/>
        <v>0</v>
      </c>
    </row>
    <row r="491" spans="1:22" s="90" customFormat="1" ht="20.100000000000001" customHeight="1">
      <c r="A491" s="347"/>
      <c r="B491" s="28" t="s">
        <v>933</v>
      </c>
      <c r="C491" s="236" t="s">
        <v>1035</v>
      </c>
      <c r="D491" s="236" t="s">
        <v>90</v>
      </c>
      <c r="E491" s="237">
        <f>E492+E495+E501+E498</f>
        <v>111153.89</v>
      </c>
      <c r="F491" s="237">
        <f>F492+F495+F501+F498</f>
        <v>111326.17</v>
      </c>
      <c r="G491" s="237">
        <f>G492+G495+G501+G498</f>
        <v>111505.36</v>
      </c>
      <c r="H491" s="237">
        <v>111153.89</v>
      </c>
      <c r="I491" s="237">
        <v>111326.17</v>
      </c>
      <c r="J491" s="237">
        <v>111505.36</v>
      </c>
      <c r="K491" s="28" t="s">
        <v>933</v>
      </c>
      <c r="L491" s="236" t="s">
        <v>1035</v>
      </c>
      <c r="M491" s="236" t="s">
        <v>90</v>
      </c>
      <c r="N491" s="237">
        <v>111153.89</v>
      </c>
      <c r="O491" s="237">
        <v>111326.17</v>
      </c>
      <c r="P491" s="237">
        <v>111505.36</v>
      </c>
      <c r="Q491" s="101" t="b">
        <f t="shared" si="126"/>
        <v>1</v>
      </c>
      <c r="R491" s="101" t="b">
        <f t="shared" si="127"/>
        <v>1</v>
      </c>
      <c r="S491" s="101" t="b">
        <f t="shared" si="128"/>
        <v>1</v>
      </c>
      <c r="T491" s="167">
        <f t="shared" si="129"/>
        <v>0</v>
      </c>
      <c r="U491" s="167">
        <f t="shared" si="130"/>
        <v>0</v>
      </c>
      <c r="V491" s="167">
        <f t="shared" si="131"/>
        <v>0</v>
      </c>
    </row>
    <row r="492" spans="1:22" s="90" customFormat="1" ht="20.100000000000001" customHeight="1">
      <c r="A492" s="347"/>
      <c r="B492" s="182" t="s">
        <v>932</v>
      </c>
      <c r="C492" s="37" t="s">
        <v>1036</v>
      </c>
      <c r="D492" s="37" t="s">
        <v>90</v>
      </c>
      <c r="E492" s="183">
        <f t="shared" ref="E492:G493" si="138">E493</f>
        <v>450</v>
      </c>
      <c r="F492" s="183">
        <f t="shared" si="138"/>
        <v>450</v>
      </c>
      <c r="G492" s="183">
        <f t="shared" si="138"/>
        <v>450</v>
      </c>
      <c r="H492" s="183">
        <v>450</v>
      </c>
      <c r="I492" s="183">
        <v>450</v>
      </c>
      <c r="J492" s="183">
        <v>450</v>
      </c>
      <c r="K492" s="182" t="s">
        <v>932</v>
      </c>
      <c r="L492" s="37" t="s">
        <v>1036</v>
      </c>
      <c r="M492" s="37" t="s">
        <v>90</v>
      </c>
      <c r="N492" s="183">
        <v>450</v>
      </c>
      <c r="O492" s="183">
        <v>450</v>
      </c>
      <c r="P492" s="183">
        <v>450</v>
      </c>
      <c r="Q492" s="101" t="b">
        <f t="shared" si="126"/>
        <v>1</v>
      </c>
      <c r="R492" s="101" t="b">
        <f t="shared" si="127"/>
        <v>1</v>
      </c>
      <c r="S492" s="101" t="b">
        <f t="shared" si="128"/>
        <v>1</v>
      </c>
      <c r="T492" s="167">
        <f t="shared" si="129"/>
        <v>0</v>
      </c>
      <c r="U492" s="167">
        <f t="shared" si="130"/>
        <v>0</v>
      </c>
      <c r="V492" s="167">
        <f t="shared" si="131"/>
        <v>0</v>
      </c>
    </row>
    <row r="493" spans="1:22" s="90" customFormat="1" ht="20.100000000000001" customHeight="1">
      <c r="A493" s="347"/>
      <c r="B493" s="182" t="s">
        <v>745</v>
      </c>
      <c r="C493" s="37" t="s">
        <v>1037</v>
      </c>
      <c r="D493" s="37" t="s">
        <v>90</v>
      </c>
      <c r="E493" s="183">
        <f t="shared" si="138"/>
        <v>450</v>
      </c>
      <c r="F493" s="183">
        <f t="shared" si="138"/>
        <v>450</v>
      </c>
      <c r="G493" s="183">
        <f t="shared" si="138"/>
        <v>450</v>
      </c>
      <c r="H493" s="183">
        <v>450</v>
      </c>
      <c r="I493" s="183">
        <v>450</v>
      </c>
      <c r="J493" s="183">
        <v>450</v>
      </c>
      <c r="K493" s="182" t="s">
        <v>745</v>
      </c>
      <c r="L493" s="37" t="s">
        <v>1037</v>
      </c>
      <c r="M493" s="37" t="s">
        <v>90</v>
      </c>
      <c r="N493" s="183">
        <v>450</v>
      </c>
      <c r="O493" s="183">
        <v>450</v>
      </c>
      <c r="P493" s="183">
        <v>450</v>
      </c>
      <c r="Q493" s="101" t="b">
        <f t="shared" si="126"/>
        <v>1</v>
      </c>
      <c r="R493" s="101" t="b">
        <f t="shared" si="127"/>
        <v>1</v>
      </c>
      <c r="S493" s="101" t="b">
        <f t="shared" si="128"/>
        <v>1</v>
      </c>
      <c r="T493" s="167">
        <f t="shared" si="129"/>
        <v>0</v>
      </c>
      <c r="U493" s="167">
        <f t="shared" si="130"/>
        <v>0</v>
      </c>
      <c r="V493" s="167">
        <f t="shared" si="131"/>
        <v>0</v>
      </c>
    </row>
    <row r="494" spans="1:22" s="90" customFormat="1" ht="20.100000000000001" customHeight="1">
      <c r="A494" s="347"/>
      <c r="B494" s="182" t="s">
        <v>145</v>
      </c>
      <c r="C494" s="37" t="s">
        <v>1037</v>
      </c>
      <c r="D494" s="37" t="s">
        <v>153</v>
      </c>
      <c r="E494" s="183">
        <f>'Вед-я стр-ра'!H250</f>
        <v>450</v>
      </c>
      <c r="F494" s="183">
        <f>'Вед-я стр-ра'!I250</f>
        <v>450</v>
      </c>
      <c r="G494" s="183">
        <f>'Вед-я стр-ра'!J250</f>
        <v>450</v>
      </c>
      <c r="H494" s="183">
        <v>450</v>
      </c>
      <c r="I494" s="183">
        <v>450</v>
      </c>
      <c r="J494" s="183">
        <v>450</v>
      </c>
      <c r="K494" s="182" t="s">
        <v>145</v>
      </c>
      <c r="L494" s="37" t="s">
        <v>1037</v>
      </c>
      <c r="M494" s="37" t="s">
        <v>153</v>
      </c>
      <c r="N494" s="183">
        <v>450</v>
      </c>
      <c r="O494" s="183">
        <v>450</v>
      </c>
      <c r="P494" s="183">
        <v>450</v>
      </c>
      <c r="Q494" s="101" t="b">
        <f t="shared" si="126"/>
        <v>1</v>
      </c>
      <c r="R494" s="101" t="b">
        <f t="shared" si="127"/>
        <v>1</v>
      </c>
      <c r="S494" s="101" t="b">
        <f t="shared" si="128"/>
        <v>1</v>
      </c>
      <c r="T494" s="167">
        <f t="shared" si="129"/>
        <v>0</v>
      </c>
      <c r="U494" s="167">
        <f t="shared" si="130"/>
        <v>0</v>
      </c>
      <c r="V494" s="167">
        <f t="shared" si="131"/>
        <v>0</v>
      </c>
    </row>
    <row r="495" spans="1:22" s="90" customFormat="1" ht="20.100000000000001" customHeight="1">
      <c r="A495" s="347"/>
      <c r="B495" s="182" t="s">
        <v>522</v>
      </c>
      <c r="C495" s="37" t="s">
        <v>1038</v>
      </c>
      <c r="D495" s="37" t="s">
        <v>90</v>
      </c>
      <c r="E495" s="183">
        <f t="shared" ref="E495:G496" si="139">E496</f>
        <v>76.5</v>
      </c>
      <c r="F495" s="183">
        <f t="shared" si="139"/>
        <v>76.5</v>
      </c>
      <c r="G495" s="183">
        <f t="shared" si="139"/>
        <v>76.5</v>
      </c>
      <c r="H495" s="183">
        <v>76.5</v>
      </c>
      <c r="I495" s="183">
        <v>76.5</v>
      </c>
      <c r="J495" s="183">
        <v>76.5</v>
      </c>
      <c r="K495" s="182" t="s">
        <v>522</v>
      </c>
      <c r="L495" s="37" t="s">
        <v>1038</v>
      </c>
      <c r="M495" s="37" t="s">
        <v>90</v>
      </c>
      <c r="N495" s="183">
        <v>76.5</v>
      </c>
      <c r="O495" s="183">
        <v>76.5</v>
      </c>
      <c r="P495" s="183">
        <v>76.5</v>
      </c>
      <c r="Q495" s="101" t="b">
        <f t="shared" si="126"/>
        <v>1</v>
      </c>
      <c r="R495" s="101" t="b">
        <f t="shared" si="127"/>
        <v>1</v>
      </c>
      <c r="S495" s="101" t="b">
        <f t="shared" si="128"/>
        <v>1</v>
      </c>
      <c r="T495" s="167">
        <f t="shared" si="129"/>
        <v>0</v>
      </c>
      <c r="U495" s="167">
        <f t="shared" si="130"/>
        <v>0</v>
      </c>
      <c r="V495" s="167">
        <f t="shared" si="131"/>
        <v>0</v>
      </c>
    </row>
    <row r="496" spans="1:22" s="90" customFormat="1" ht="20.100000000000001" customHeight="1">
      <c r="A496" s="347"/>
      <c r="B496" s="182" t="s">
        <v>745</v>
      </c>
      <c r="C496" s="37" t="s">
        <v>1039</v>
      </c>
      <c r="D496" s="37" t="s">
        <v>90</v>
      </c>
      <c r="E496" s="183">
        <f t="shared" si="139"/>
        <v>76.5</v>
      </c>
      <c r="F496" s="183">
        <f t="shared" si="139"/>
        <v>76.5</v>
      </c>
      <c r="G496" s="183">
        <f t="shared" si="139"/>
        <v>76.5</v>
      </c>
      <c r="H496" s="183">
        <v>76.5</v>
      </c>
      <c r="I496" s="183">
        <v>76.5</v>
      </c>
      <c r="J496" s="183">
        <v>76.5</v>
      </c>
      <c r="K496" s="182" t="s">
        <v>745</v>
      </c>
      <c r="L496" s="37" t="s">
        <v>1039</v>
      </c>
      <c r="M496" s="37" t="s">
        <v>90</v>
      </c>
      <c r="N496" s="183">
        <v>76.5</v>
      </c>
      <c r="O496" s="183">
        <v>76.5</v>
      </c>
      <c r="P496" s="183">
        <v>76.5</v>
      </c>
      <c r="Q496" s="101" t="b">
        <f t="shared" si="126"/>
        <v>1</v>
      </c>
      <c r="R496" s="101" t="b">
        <f t="shared" si="127"/>
        <v>1</v>
      </c>
      <c r="S496" s="101" t="b">
        <f t="shared" si="128"/>
        <v>1</v>
      </c>
      <c r="T496" s="167">
        <f t="shared" si="129"/>
        <v>0</v>
      </c>
      <c r="U496" s="167">
        <f t="shared" si="130"/>
        <v>0</v>
      </c>
      <c r="V496" s="167">
        <f t="shared" si="131"/>
        <v>0</v>
      </c>
    </row>
    <row r="497" spans="1:22" s="90" customFormat="1" ht="20.100000000000001" customHeight="1">
      <c r="A497" s="347"/>
      <c r="B497" s="182" t="s">
        <v>145</v>
      </c>
      <c r="C497" s="37" t="s">
        <v>1039</v>
      </c>
      <c r="D497" s="37" t="s">
        <v>153</v>
      </c>
      <c r="E497" s="183">
        <f>'Вед-я стр-ра'!H256</f>
        <v>76.5</v>
      </c>
      <c r="F497" s="183">
        <f>'Вед-я стр-ра'!I256</f>
        <v>76.5</v>
      </c>
      <c r="G497" s="183">
        <f>'Вед-я стр-ра'!J256</f>
        <v>76.5</v>
      </c>
      <c r="H497" s="183">
        <v>76.5</v>
      </c>
      <c r="I497" s="183">
        <v>76.5</v>
      </c>
      <c r="J497" s="183">
        <v>76.5</v>
      </c>
      <c r="K497" s="182" t="s">
        <v>145</v>
      </c>
      <c r="L497" s="37" t="s">
        <v>1039</v>
      </c>
      <c r="M497" s="37" t="s">
        <v>153</v>
      </c>
      <c r="N497" s="183">
        <v>76.5</v>
      </c>
      <c r="O497" s="183">
        <v>76.5</v>
      </c>
      <c r="P497" s="183">
        <v>76.5</v>
      </c>
      <c r="Q497" s="101" t="b">
        <f t="shared" si="126"/>
        <v>1</v>
      </c>
      <c r="R497" s="101" t="b">
        <f t="shared" si="127"/>
        <v>1</v>
      </c>
      <c r="S497" s="101" t="b">
        <f t="shared" si="128"/>
        <v>1</v>
      </c>
      <c r="T497" s="167">
        <f t="shared" si="129"/>
        <v>0</v>
      </c>
      <c r="U497" s="167">
        <f t="shared" si="130"/>
        <v>0</v>
      </c>
      <c r="V497" s="167">
        <f t="shared" si="131"/>
        <v>0</v>
      </c>
    </row>
    <row r="498" spans="1:22" s="90" customFormat="1" ht="20.100000000000001" customHeight="1">
      <c r="A498" s="347"/>
      <c r="B498" s="182" t="s">
        <v>678</v>
      </c>
      <c r="C498" s="37" t="s">
        <v>1040</v>
      </c>
      <c r="D498" s="37" t="s">
        <v>90</v>
      </c>
      <c r="E498" s="183">
        <f t="shared" ref="E498:G499" si="140">E499</f>
        <v>76.5</v>
      </c>
      <c r="F498" s="183">
        <f t="shared" si="140"/>
        <v>76.5</v>
      </c>
      <c r="G498" s="183">
        <f t="shared" si="140"/>
        <v>76.5</v>
      </c>
      <c r="H498" s="183">
        <v>76.5</v>
      </c>
      <c r="I498" s="183">
        <v>76.5</v>
      </c>
      <c r="J498" s="183">
        <v>76.5</v>
      </c>
      <c r="K498" s="182" t="s">
        <v>678</v>
      </c>
      <c r="L498" s="37" t="s">
        <v>1040</v>
      </c>
      <c r="M498" s="37" t="s">
        <v>90</v>
      </c>
      <c r="N498" s="183">
        <v>76.5</v>
      </c>
      <c r="O498" s="183">
        <v>76.5</v>
      </c>
      <c r="P498" s="183">
        <v>76.5</v>
      </c>
      <c r="Q498" s="101" t="b">
        <f t="shared" si="126"/>
        <v>1</v>
      </c>
      <c r="R498" s="101" t="b">
        <f t="shared" si="127"/>
        <v>1</v>
      </c>
      <c r="S498" s="101" t="b">
        <f t="shared" si="128"/>
        <v>1</v>
      </c>
      <c r="T498" s="167">
        <f t="shared" si="129"/>
        <v>0</v>
      </c>
      <c r="U498" s="167">
        <f t="shared" si="130"/>
        <v>0</v>
      </c>
      <c r="V498" s="167">
        <f t="shared" si="131"/>
        <v>0</v>
      </c>
    </row>
    <row r="499" spans="1:22" s="90" customFormat="1" ht="20.100000000000001" customHeight="1">
      <c r="A499" s="347"/>
      <c r="B499" s="182" t="s">
        <v>745</v>
      </c>
      <c r="C499" s="37" t="s">
        <v>1041</v>
      </c>
      <c r="D499" s="37" t="s">
        <v>90</v>
      </c>
      <c r="E499" s="183">
        <f t="shared" si="140"/>
        <v>76.5</v>
      </c>
      <c r="F499" s="183">
        <f t="shared" si="140"/>
        <v>76.5</v>
      </c>
      <c r="G499" s="183">
        <f t="shared" si="140"/>
        <v>76.5</v>
      </c>
      <c r="H499" s="183">
        <v>76.5</v>
      </c>
      <c r="I499" s="183">
        <v>76.5</v>
      </c>
      <c r="J499" s="183">
        <v>76.5</v>
      </c>
      <c r="K499" s="182" t="s">
        <v>745</v>
      </c>
      <c r="L499" s="37" t="s">
        <v>1041</v>
      </c>
      <c r="M499" s="37" t="s">
        <v>90</v>
      </c>
      <c r="N499" s="183">
        <v>76.5</v>
      </c>
      <c r="O499" s="183">
        <v>76.5</v>
      </c>
      <c r="P499" s="183">
        <v>76.5</v>
      </c>
      <c r="Q499" s="101" t="b">
        <f t="shared" si="126"/>
        <v>1</v>
      </c>
      <c r="R499" s="101" t="b">
        <f t="shared" si="127"/>
        <v>1</v>
      </c>
      <c r="S499" s="101" t="b">
        <f t="shared" si="128"/>
        <v>1</v>
      </c>
      <c r="T499" s="167">
        <f t="shared" si="129"/>
        <v>0</v>
      </c>
      <c r="U499" s="167">
        <f t="shared" si="130"/>
        <v>0</v>
      </c>
      <c r="V499" s="167">
        <f t="shared" si="131"/>
        <v>0</v>
      </c>
    </row>
    <row r="500" spans="1:22" s="90" customFormat="1" ht="20.100000000000001" customHeight="1">
      <c r="A500" s="347"/>
      <c r="B500" s="182" t="s">
        <v>145</v>
      </c>
      <c r="C500" s="37" t="s">
        <v>1041</v>
      </c>
      <c r="D500" s="37" t="s">
        <v>153</v>
      </c>
      <c r="E500" s="183">
        <f>'Вед-я стр-ра'!H256</f>
        <v>76.5</v>
      </c>
      <c r="F500" s="183">
        <f>'Вед-я стр-ра'!I256</f>
        <v>76.5</v>
      </c>
      <c r="G500" s="183">
        <f>'Вед-я стр-ра'!J256</f>
        <v>76.5</v>
      </c>
      <c r="H500" s="183">
        <v>76.5</v>
      </c>
      <c r="I500" s="183">
        <v>76.5</v>
      </c>
      <c r="J500" s="183">
        <v>76.5</v>
      </c>
      <c r="K500" s="182" t="s">
        <v>145</v>
      </c>
      <c r="L500" s="37" t="s">
        <v>1041</v>
      </c>
      <c r="M500" s="37" t="s">
        <v>153</v>
      </c>
      <c r="N500" s="183">
        <v>76.5</v>
      </c>
      <c r="O500" s="183">
        <v>76.5</v>
      </c>
      <c r="P500" s="183">
        <v>76.5</v>
      </c>
      <c r="Q500" s="101" t="b">
        <f t="shared" si="126"/>
        <v>1</v>
      </c>
      <c r="R500" s="101" t="b">
        <f t="shared" si="127"/>
        <v>1</v>
      </c>
      <c r="S500" s="101" t="b">
        <f t="shared" si="128"/>
        <v>1</v>
      </c>
      <c r="T500" s="167">
        <f t="shared" si="129"/>
        <v>0</v>
      </c>
      <c r="U500" s="167">
        <f t="shared" si="130"/>
        <v>0</v>
      </c>
      <c r="V500" s="167">
        <f t="shared" si="131"/>
        <v>0</v>
      </c>
    </row>
    <row r="501" spans="1:22" s="90" customFormat="1" ht="20.100000000000001" customHeight="1">
      <c r="A501" s="347"/>
      <c r="B501" s="182" t="s">
        <v>253</v>
      </c>
      <c r="C501" s="37" t="s">
        <v>1042</v>
      </c>
      <c r="D501" s="37" t="s">
        <v>90</v>
      </c>
      <c r="E501" s="183">
        <f>E502</f>
        <v>110550.89</v>
      </c>
      <c r="F501" s="183">
        <f t="shared" ref="F501:G501" si="141">F502</f>
        <v>110723.17</v>
      </c>
      <c r="G501" s="183">
        <f t="shared" si="141"/>
        <v>110902.36</v>
      </c>
      <c r="H501" s="183">
        <v>110550.89</v>
      </c>
      <c r="I501" s="183">
        <v>110723.17</v>
      </c>
      <c r="J501" s="183">
        <v>110902.36</v>
      </c>
      <c r="K501" s="182" t="s">
        <v>253</v>
      </c>
      <c r="L501" s="37" t="s">
        <v>1042</v>
      </c>
      <c r="M501" s="37" t="s">
        <v>90</v>
      </c>
      <c r="N501" s="183">
        <v>110550.89</v>
      </c>
      <c r="O501" s="183">
        <v>110723.17</v>
      </c>
      <c r="P501" s="183">
        <v>110902.36</v>
      </c>
      <c r="Q501" s="101" t="b">
        <f t="shared" si="126"/>
        <v>1</v>
      </c>
      <c r="R501" s="101" t="b">
        <f t="shared" si="127"/>
        <v>1</v>
      </c>
      <c r="S501" s="101" t="b">
        <f t="shared" si="128"/>
        <v>1</v>
      </c>
      <c r="T501" s="167">
        <f t="shared" si="129"/>
        <v>0</v>
      </c>
      <c r="U501" s="167">
        <f t="shared" si="130"/>
        <v>0</v>
      </c>
      <c r="V501" s="167">
        <f t="shared" si="131"/>
        <v>0</v>
      </c>
    </row>
    <row r="502" spans="1:22" s="90" customFormat="1" ht="20.100000000000001" customHeight="1">
      <c r="A502" s="347"/>
      <c r="B502" s="182" t="s">
        <v>254</v>
      </c>
      <c r="C502" s="37" t="s">
        <v>1043</v>
      </c>
      <c r="D502" s="37" t="s">
        <v>90</v>
      </c>
      <c r="E502" s="183">
        <f>SUM(E503:E505)</f>
        <v>110550.89</v>
      </c>
      <c r="F502" s="183">
        <f>SUM(F503:F505)</f>
        <v>110723.17</v>
      </c>
      <c r="G502" s="183">
        <f>SUM(G503:G505)</f>
        <v>110902.36</v>
      </c>
      <c r="H502" s="183">
        <v>110550.89</v>
      </c>
      <c r="I502" s="183">
        <v>110723.17</v>
      </c>
      <c r="J502" s="183">
        <v>110902.36</v>
      </c>
      <c r="K502" s="182" t="s">
        <v>254</v>
      </c>
      <c r="L502" s="37" t="s">
        <v>1043</v>
      </c>
      <c r="M502" s="37" t="s">
        <v>90</v>
      </c>
      <c r="N502" s="183">
        <v>110550.89</v>
      </c>
      <c r="O502" s="183">
        <v>110723.17</v>
      </c>
      <c r="P502" s="183">
        <v>110902.36</v>
      </c>
      <c r="Q502" s="101" t="b">
        <f t="shared" si="126"/>
        <v>1</v>
      </c>
      <c r="R502" s="101" t="b">
        <f t="shared" si="127"/>
        <v>1</v>
      </c>
      <c r="S502" s="101" t="b">
        <f t="shared" si="128"/>
        <v>1</v>
      </c>
      <c r="T502" s="167">
        <f t="shared" si="129"/>
        <v>0</v>
      </c>
      <c r="U502" s="167">
        <f t="shared" si="130"/>
        <v>0</v>
      </c>
      <c r="V502" s="167">
        <f t="shared" si="131"/>
        <v>0</v>
      </c>
    </row>
    <row r="503" spans="1:22" s="90" customFormat="1" ht="20.100000000000001" customHeight="1">
      <c r="A503" s="347"/>
      <c r="B503" s="23" t="s">
        <v>143</v>
      </c>
      <c r="C503" s="37" t="s">
        <v>1043</v>
      </c>
      <c r="D503" s="37" t="s">
        <v>157</v>
      </c>
      <c r="E503" s="183">
        <f>'Вед-я стр-ра'!H259</f>
        <v>89483.68</v>
      </c>
      <c r="F503" s="183">
        <f>'Вед-я стр-ра'!I259</f>
        <v>89483.68</v>
      </c>
      <c r="G503" s="183">
        <f>'Вед-я стр-ра'!J259</f>
        <v>89483.68</v>
      </c>
      <c r="H503" s="183">
        <v>89483.68</v>
      </c>
      <c r="I503" s="183">
        <v>89483.68</v>
      </c>
      <c r="J503" s="183">
        <v>89483.68</v>
      </c>
      <c r="K503" s="23" t="s">
        <v>143</v>
      </c>
      <c r="L503" s="37" t="s">
        <v>1043</v>
      </c>
      <c r="M503" s="37" t="s">
        <v>157</v>
      </c>
      <c r="N503" s="183">
        <v>89483.68</v>
      </c>
      <c r="O503" s="183">
        <v>89483.68</v>
      </c>
      <c r="P503" s="183">
        <v>89483.68</v>
      </c>
      <c r="Q503" s="101" t="b">
        <f t="shared" si="126"/>
        <v>1</v>
      </c>
      <c r="R503" s="101" t="b">
        <f t="shared" si="127"/>
        <v>1</v>
      </c>
      <c r="S503" s="101" t="b">
        <f t="shared" si="128"/>
        <v>1</v>
      </c>
      <c r="T503" s="167">
        <f t="shared" si="129"/>
        <v>0</v>
      </c>
      <c r="U503" s="167">
        <f t="shared" si="130"/>
        <v>0</v>
      </c>
      <c r="V503" s="167">
        <f t="shared" si="131"/>
        <v>0</v>
      </c>
    </row>
    <row r="504" spans="1:22" s="90" customFormat="1" ht="20.100000000000001" customHeight="1">
      <c r="A504" s="347"/>
      <c r="B504" s="182" t="s">
        <v>145</v>
      </c>
      <c r="C504" s="37" t="s">
        <v>1043</v>
      </c>
      <c r="D504" s="37" t="s">
        <v>153</v>
      </c>
      <c r="E504" s="183">
        <f>'Вед-я стр-ра'!H260</f>
        <v>19760.29</v>
      </c>
      <c r="F504" s="183">
        <f>'Вед-я стр-ра'!I260</f>
        <v>19932.570000000003</v>
      </c>
      <c r="G504" s="183">
        <f>'Вед-я стр-ра'!J260</f>
        <v>20111.760000000002</v>
      </c>
      <c r="H504" s="183">
        <v>19760.29</v>
      </c>
      <c r="I504" s="183">
        <v>19932.570000000003</v>
      </c>
      <c r="J504" s="183">
        <v>20111.760000000002</v>
      </c>
      <c r="K504" s="182" t="s">
        <v>145</v>
      </c>
      <c r="L504" s="37" t="s">
        <v>1043</v>
      </c>
      <c r="M504" s="37" t="s">
        <v>153</v>
      </c>
      <c r="N504" s="183">
        <v>19760.29</v>
      </c>
      <c r="O504" s="183">
        <v>19932.570000000003</v>
      </c>
      <c r="P504" s="183">
        <v>20111.760000000002</v>
      </c>
      <c r="Q504" s="101" t="b">
        <f t="shared" si="126"/>
        <v>1</v>
      </c>
      <c r="R504" s="101" t="b">
        <f t="shared" si="127"/>
        <v>1</v>
      </c>
      <c r="S504" s="101" t="b">
        <f t="shared" si="128"/>
        <v>1</v>
      </c>
      <c r="T504" s="167">
        <f t="shared" si="129"/>
        <v>0</v>
      </c>
      <c r="U504" s="167">
        <f t="shared" si="130"/>
        <v>0</v>
      </c>
      <c r="V504" s="167">
        <f t="shared" si="131"/>
        <v>0</v>
      </c>
    </row>
    <row r="505" spans="1:22" s="90" customFormat="1" ht="20.100000000000001" customHeight="1">
      <c r="A505" s="347"/>
      <c r="B505" s="182" t="s">
        <v>137</v>
      </c>
      <c r="C505" s="37" t="s">
        <v>1043</v>
      </c>
      <c r="D505" s="89">
        <v>850</v>
      </c>
      <c r="E505" s="183">
        <f>'Вед-я стр-ра'!H261</f>
        <v>1306.92</v>
      </c>
      <c r="F505" s="183">
        <f>'Вед-я стр-ра'!I261</f>
        <v>1306.92</v>
      </c>
      <c r="G505" s="183">
        <f>'Вед-я стр-ра'!J261</f>
        <v>1306.92</v>
      </c>
      <c r="H505" s="183">
        <v>1306.92</v>
      </c>
      <c r="I505" s="183">
        <v>1306.92</v>
      </c>
      <c r="J505" s="183">
        <v>1306.92</v>
      </c>
      <c r="K505" s="182" t="s">
        <v>137</v>
      </c>
      <c r="L505" s="37" t="s">
        <v>1043</v>
      </c>
      <c r="M505" s="89">
        <v>850</v>
      </c>
      <c r="N505" s="183">
        <v>1306.92</v>
      </c>
      <c r="O505" s="183">
        <v>1306.92</v>
      </c>
      <c r="P505" s="183">
        <v>1306.92</v>
      </c>
      <c r="Q505" s="101" t="b">
        <f t="shared" si="126"/>
        <v>1</v>
      </c>
      <c r="R505" s="101" t="b">
        <f t="shared" si="127"/>
        <v>1</v>
      </c>
      <c r="S505" s="101" t="b">
        <f t="shared" si="128"/>
        <v>1</v>
      </c>
      <c r="T505" s="167">
        <f t="shared" si="129"/>
        <v>0</v>
      </c>
      <c r="U505" s="167">
        <f t="shared" si="130"/>
        <v>0</v>
      </c>
      <c r="V505" s="167">
        <f t="shared" si="131"/>
        <v>0</v>
      </c>
    </row>
    <row r="506" spans="1:22" s="97" customFormat="1" ht="20.100000000000001" customHeight="1">
      <c r="A506" s="222"/>
      <c r="B506" s="178"/>
      <c r="C506" s="230"/>
      <c r="D506" s="230"/>
      <c r="E506" s="252"/>
      <c r="F506" s="252"/>
      <c r="G506" s="252"/>
      <c r="H506" s="252"/>
      <c r="I506" s="252"/>
      <c r="J506" s="252"/>
      <c r="K506" s="178"/>
      <c r="L506" s="230"/>
      <c r="M506" s="230"/>
      <c r="N506" s="252"/>
      <c r="O506" s="252"/>
      <c r="P506" s="252"/>
      <c r="Q506" s="101" t="b">
        <f t="shared" si="126"/>
        <v>1</v>
      </c>
      <c r="R506" s="101" t="b">
        <f t="shared" si="127"/>
        <v>1</v>
      </c>
      <c r="S506" s="101" t="b">
        <f t="shared" si="128"/>
        <v>1</v>
      </c>
      <c r="T506" s="167">
        <f t="shared" si="129"/>
        <v>0</v>
      </c>
      <c r="U506" s="167">
        <f t="shared" si="130"/>
        <v>0</v>
      </c>
      <c r="V506" s="167">
        <f t="shared" si="131"/>
        <v>0</v>
      </c>
    </row>
    <row r="507" spans="1:22" s="101" customFormat="1" ht="20.100000000000001" customHeight="1">
      <c r="A507" s="345"/>
      <c r="B507" s="42" t="s">
        <v>1167</v>
      </c>
      <c r="C507" s="233" t="s">
        <v>246</v>
      </c>
      <c r="D507" s="233" t="s">
        <v>90</v>
      </c>
      <c r="E507" s="234">
        <f>E508</f>
        <v>260</v>
      </c>
      <c r="F507" s="234">
        <f>F508</f>
        <v>260</v>
      </c>
      <c r="G507" s="234">
        <f>G508</f>
        <v>260</v>
      </c>
      <c r="H507" s="234">
        <v>260</v>
      </c>
      <c r="I507" s="234">
        <v>260</v>
      </c>
      <c r="J507" s="234">
        <v>260</v>
      </c>
      <c r="K507" s="42" t="s">
        <v>1167</v>
      </c>
      <c r="L507" s="233" t="s">
        <v>246</v>
      </c>
      <c r="M507" s="233" t="s">
        <v>90</v>
      </c>
      <c r="N507" s="234">
        <v>260</v>
      </c>
      <c r="O507" s="234">
        <v>260</v>
      </c>
      <c r="P507" s="234">
        <v>260</v>
      </c>
      <c r="Q507" s="101" t="b">
        <f t="shared" si="126"/>
        <v>1</v>
      </c>
      <c r="R507" s="101" t="b">
        <f t="shared" si="127"/>
        <v>1</v>
      </c>
      <c r="S507" s="101" t="b">
        <f t="shared" si="128"/>
        <v>1</v>
      </c>
      <c r="T507" s="167">
        <f t="shared" si="129"/>
        <v>0</v>
      </c>
      <c r="U507" s="167">
        <f t="shared" si="130"/>
        <v>0</v>
      </c>
      <c r="V507" s="167">
        <f t="shared" si="131"/>
        <v>0</v>
      </c>
    </row>
    <row r="508" spans="1:22" s="101" customFormat="1" ht="20.100000000000001" customHeight="1">
      <c r="A508" s="345"/>
      <c r="B508" s="28" t="s">
        <v>1202</v>
      </c>
      <c r="C508" s="236" t="s">
        <v>934</v>
      </c>
      <c r="D508" s="236" t="s">
        <v>90</v>
      </c>
      <c r="E508" s="237">
        <f>E509+E512</f>
        <v>260</v>
      </c>
      <c r="F508" s="237">
        <f>F509+F512</f>
        <v>260</v>
      </c>
      <c r="G508" s="237">
        <f>G509+G512</f>
        <v>260</v>
      </c>
      <c r="H508" s="237">
        <v>260</v>
      </c>
      <c r="I508" s="237">
        <v>260</v>
      </c>
      <c r="J508" s="237">
        <v>260</v>
      </c>
      <c r="K508" s="28" t="s">
        <v>1202</v>
      </c>
      <c r="L508" s="236" t="s">
        <v>934</v>
      </c>
      <c r="M508" s="236" t="s">
        <v>90</v>
      </c>
      <c r="N508" s="237">
        <v>260</v>
      </c>
      <c r="O508" s="237">
        <v>260</v>
      </c>
      <c r="P508" s="237">
        <v>260</v>
      </c>
      <c r="Q508" s="101" t="b">
        <f t="shared" si="126"/>
        <v>1</v>
      </c>
      <c r="R508" s="101" t="b">
        <f t="shared" si="127"/>
        <v>1</v>
      </c>
      <c r="S508" s="101" t="b">
        <f t="shared" si="128"/>
        <v>1</v>
      </c>
      <c r="T508" s="167">
        <f t="shared" si="129"/>
        <v>0</v>
      </c>
      <c r="U508" s="167">
        <f t="shared" si="130"/>
        <v>0</v>
      </c>
      <c r="V508" s="167">
        <f t="shared" si="131"/>
        <v>0</v>
      </c>
    </row>
    <row r="509" spans="1:22" s="90" customFormat="1" ht="20.100000000000001" customHeight="1">
      <c r="A509" s="347"/>
      <c r="B509" s="182" t="s">
        <v>939</v>
      </c>
      <c r="C509" s="230" t="s">
        <v>935</v>
      </c>
      <c r="D509" s="230" t="s">
        <v>90</v>
      </c>
      <c r="E509" s="252">
        <f t="shared" ref="E509:G510" si="142">E510</f>
        <v>160</v>
      </c>
      <c r="F509" s="252">
        <f t="shared" si="142"/>
        <v>160</v>
      </c>
      <c r="G509" s="252">
        <f t="shared" si="142"/>
        <v>160</v>
      </c>
      <c r="H509" s="252">
        <v>160</v>
      </c>
      <c r="I509" s="252">
        <v>160</v>
      </c>
      <c r="J509" s="252">
        <v>160</v>
      </c>
      <c r="K509" s="182" t="s">
        <v>939</v>
      </c>
      <c r="L509" s="230" t="s">
        <v>935</v>
      </c>
      <c r="M509" s="230" t="s">
        <v>90</v>
      </c>
      <c r="N509" s="252">
        <v>160</v>
      </c>
      <c r="O509" s="252">
        <v>160</v>
      </c>
      <c r="P509" s="252">
        <v>160</v>
      </c>
      <c r="Q509" s="101" t="b">
        <f t="shared" si="126"/>
        <v>1</v>
      </c>
      <c r="R509" s="101" t="b">
        <f t="shared" si="127"/>
        <v>1</v>
      </c>
      <c r="S509" s="101" t="b">
        <f t="shared" si="128"/>
        <v>1</v>
      </c>
      <c r="T509" s="167">
        <f t="shared" si="129"/>
        <v>0</v>
      </c>
      <c r="U509" s="167">
        <f t="shared" si="130"/>
        <v>0</v>
      </c>
      <c r="V509" s="167">
        <f t="shared" si="131"/>
        <v>0</v>
      </c>
    </row>
    <row r="510" spans="1:22" s="90" customFormat="1" ht="20.100000000000001" customHeight="1">
      <c r="A510" s="347"/>
      <c r="B510" s="54" t="s">
        <v>749</v>
      </c>
      <c r="C510" s="230" t="s">
        <v>936</v>
      </c>
      <c r="D510" s="230" t="s">
        <v>90</v>
      </c>
      <c r="E510" s="252">
        <f t="shared" si="142"/>
        <v>160</v>
      </c>
      <c r="F510" s="252">
        <f t="shared" si="142"/>
        <v>160</v>
      </c>
      <c r="G510" s="252">
        <f t="shared" si="142"/>
        <v>160</v>
      </c>
      <c r="H510" s="252">
        <v>160</v>
      </c>
      <c r="I510" s="252">
        <v>160</v>
      </c>
      <c r="J510" s="252">
        <v>160</v>
      </c>
      <c r="K510" s="54" t="s">
        <v>749</v>
      </c>
      <c r="L510" s="230" t="s">
        <v>936</v>
      </c>
      <c r="M510" s="230" t="s">
        <v>90</v>
      </c>
      <c r="N510" s="252">
        <v>160</v>
      </c>
      <c r="O510" s="252">
        <v>160</v>
      </c>
      <c r="P510" s="252">
        <v>160</v>
      </c>
      <c r="Q510" s="101" t="b">
        <f t="shared" si="126"/>
        <v>1</v>
      </c>
      <c r="R510" s="101" t="b">
        <f t="shared" si="127"/>
        <v>1</v>
      </c>
      <c r="S510" s="101" t="b">
        <f t="shared" si="128"/>
        <v>1</v>
      </c>
      <c r="T510" s="167">
        <f t="shared" si="129"/>
        <v>0</v>
      </c>
      <c r="U510" s="167">
        <f t="shared" si="130"/>
        <v>0</v>
      </c>
      <c r="V510" s="167">
        <f t="shared" si="131"/>
        <v>0</v>
      </c>
    </row>
    <row r="511" spans="1:22" s="90" customFormat="1" ht="20.100000000000001" customHeight="1">
      <c r="A511" s="347"/>
      <c r="B511" s="180" t="s">
        <v>145</v>
      </c>
      <c r="C511" s="230" t="s">
        <v>936</v>
      </c>
      <c r="D511" s="230" t="s">
        <v>153</v>
      </c>
      <c r="E511" s="252">
        <f>'Вед-я стр-ра'!H139</f>
        <v>160</v>
      </c>
      <c r="F511" s="252">
        <f>'Вед-я стр-ра'!I139</f>
        <v>160</v>
      </c>
      <c r="G511" s="252">
        <f>'Вед-я стр-ра'!J139</f>
        <v>160</v>
      </c>
      <c r="H511" s="252">
        <v>160</v>
      </c>
      <c r="I511" s="252">
        <v>160</v>
      </c>
      <c r="J511" s="252">
        <v>160</v>
      </c>
      <c r="K511" s="180" t="s">
        <v>145</v>
      </c>
      <c r="L511" s="230" t="s">
        <v>936</v>
      </c>
      <c r="M511" s="230" t="s">
        <v>153</v>
      </c>
      <c r="N511" s="252">
        <v>160</v>
      </c>
      <c r="O511" s="252">
        <v>160</v>
      </c>
      <c r="P511" s="252">
        <v>160</v>
      </c>
      <c r="Q511" s="101" t="b">
        <f t="shared" si="126"/>
        <v>1</v>
      </c>
      <c r="R511" s="101" t="b">
        <f t="shared" si="127"/>
        <v>1</v>
      </c>
      <c r="S511" s="101" t="b">
        <f t="shared" si="128"/>
        <v>1</v>
      </c>
      <c r="T511" s="167">
        <f t="shared" si="129"/>
        <v>0</v>
      </c>
      <c r="U511" s="167">
        <f t="shared" si="130"/>
        <v>0</v>
      </c>
      <c r="V511" s="167">
        <f t="shared" si="131"/>
        <v>0</v>
      </c>
    </row>
    <row r="512" spans="1:22" s="90" customFormat="1" ht="20.100000000000001" customHeight="1">
      <c r="A512" s="347"/>
      <c r="B512" s="182" t="s">
        <v>940</v>
      </c>
      <c r="C512" s="230" t="s">
        <v>937</v>
      </c>
      <c r="D512" s="230" t="s">
        <v>90</v>
      </c>
      <c r="E512" s="252">
        <f t="shared" ref="E512:G513" si="143">E513</f>
        <v>100</v>
      </c>
      <c r="F512" s="252">
        <f t="shared" si="143"/>
        <v>100</v>
      </c>
      <c r="G512" s="252">
        <f t="shared" si="143"/>
        <v>100</v>
      </c>
      <c r="H512" s="252">
        <v>100</v>
      </c>
      <c r="I512" s="252">
        <v>100</v>
      </c>
      <c r="J512" s="252">
        <v>100</v>
      </c>
      <c r="K512" s="182" t="s">
        <v>940</v>
      </c>
      <c r="L512" s="230" t="s">
        <v>937</v>
      </c>
      <c r="M512" s="230" t="s">
        <v>90</v>
      </c>
      <c r="N512" s="252">
        <v>100</v>
      </c>
      <c r="O512" s="252">
        <v>100</v>
      </c>
      <c r="P512" s="252">
        <v>100</v>
      </c>
      <c r="Q512" s="101" t="b">
        <f t="shared" si="126"/>
        <v>1</v>
      </c>
      <c r="R512" s="101" t="b">
        <f t="shared" si="127"/>
        <v>1</v>
      </c>
      <c r="S512" s="101" t="b">
        <f t="shared" si="128"/>
        <v>1</v>
      </c>
      <c r="T512" s="167">
        <f t="shared" si="129"/>
        <v>0</v>
      </c>
      <c r="U512" s="167">
        <f t="shared" si="130"/>
        <v>0</v>
      </c>
      <c r="V512" s="167">
        <f t="shared" si="131"/>
        <v>0</v>
      </c>
    </row>
    <row r="513" spans="1:22" s="90" customFormat="1" ht="20.100000000000001" customHeight="1">
      <c r="A513" s="347"/>
      <c r="B513" s="178" t="s">
        <v>196</v>
      </c>
      <c r="C513" s="230" t="s">
        <v>938</v>
      </c>
      <c r="D513" s="230" t="s">
        <v>90</v>
      </c>
      <c r="E513" s="252">
        <f t="shared" si="143"/>
        <v>100</v>
      </c>
      <c r="F513" s="252">
        <f t="shared" si="143"/>
        <v>100</v>
      </c>
      <c r="G513" s="252">
        <f t="shared" si="143"/>
        <v>100</v>
      </c>
      <c r="H513" s="252">
        <v>100</v>
      </c>
      <c r="I513" s="252">
        <v>100</v>
      </c>
      <c r="J513" s="252">
        <v>100</v>
      </c>
      <c r="K513" s="178" t="s">
        <v>196</v>
      </c>
      <c r="L513" s="230" t="s">
        <v>938</v>
      </c>
      <c r="M513" s="230" t="s">
        <v>90</v>
      </c>
      <c r="N513" s="252">
        <v>100</v>
      </c>
      <c r="O513" s="252">
        <v>100</v>
      </c>
      <c r="P513" s="252">
        <v>100</v>
      </c>
      <c r="Q513" s="101" t="b">
        <f t="shared" si="126"/>
        <v>1</v>
      </c>
      <c r="R513" s="101" t="b">
        <f t="shared" si="127"/>
        <v>1</v>
      </c>
      <c r="S513" s="101" t="b">
        <f t="shared" si="128"/>
        <v>1</v>
      </c>
      <c r="T513" s="167">
        <f t="shared" si="129"/>
        <v>0</v>
      </c>
      <c r="U513" s="167">
        <f t="shared" si="130"/>
        <v>0</v>
      </c>
      <c r="V513" s="167">
        <f t="shared" si="131"/>
        <v>0</v>
      </c>
    </row>
    <row r="514" spans="1:22" s="90" customFormat="1" ht="20.100000000000001" customHeight="1">
      <c r="A514" s="347"/>
      <c r="B514" s="178" t="s">
        <v>145</v>
      </c>
      <c r="C514" s="230" t="s">
        <v>938</v>
      </c>
      <c r="D514" s="230" t="s">
        <v>153</v>
      </c>
      <c r="E514" s="252">
        <f>'Вед-я стр-ра'!H77</f>
        <v>100</v>
      </c>
      <c r="F514" s="252">
        <f>'Вед-я стр-ра'!I77</f>
        <v>100</v>
      </c>
      <c r="G514" s="252">
        <f>'Вед-я стр-ра'!J77</f>
        <v>100</v>
      </c>
      <c r="H514" s="252">
        <v>100</v>
      </c>
      <c r="I514" s="252">
        <v>100</v>
      </c>
      <c r="J514" s="252">
        <v>100</v>
      </c>
      <c r="K514" s="178" t="s">
        <v>145</v>
      </c>
      <c r="L514" s="230" t="s">
        <v>938</v>
      </c>
      <c r="M514" s="230" t="s">
        <v>153</v>
      </c>
      <c r="N514" s="252">
        <v>100</v>
      </c>
      <c r="O514" s="252">
        <v>100</v>
      </c>
      <c r="P514" s="252">
        <v>100</v>
      </c>
      <c r="Q514" s="101" t="b">
        <f t="shared" si="126"/>
        <v>1</v>
      </c>
      <c r="R514" s="101" t="b">
        <f t="shared" si="127"/>
        <v>1</v>
      </c>
      <c r="S514" s="101" t="b">
        <f t="shared" si="128"/>
        <v>1</v>
      </c>
      <c r="T514" s="167">
        <f t="shared" si="129"/>
        <v>0</v>
      </c>
      <c r="U514" s="167">
        <f t="shared" si="130"/>
        <v>0</v>
      </c>
      <c r="V514" s="167">
        <f t="shared" si="131"/>
        <v>0</v>
      </c>
    </row>
    <row r="515" spans="1:22" s="97" customFormat="1" ht="20.100000000000001" customHeight="1">
      <c r="A515" s="222"/>
      <c r="B515" s="255"/>
      <c r="C515" s="230"/>
      <c r="D515" s="230"/>
      <c r="E515" s="252"/>
      <c r="F515" s="252"/>
      <c r="G515" s="252"/>
      <c r="H515" s="252"/>
      <c r="I515" s="252"/>
      <c r="J515" s="252"/>
      <c r="K515" s="255"/>
      <c r="L515" s="230"/>
      <c r="M515" s="230"/>
      <c r="N515" s="252"/>
      <c r="O515" s="252"/>
      <c r="P515" s="252"/>
      <c r="Q515" s="101" t="b">
        <f t="shared" ref="Q515:Q573" si="144">B515=K515</f>
        <v>1</v>
      </c>
      <c r="R515" s="101" t="b">
        <f t="shared" ref="R515:R573" si="145">C515=L515</f>
        <v>1</v>
      </c>
      <c r="S515" s="101" t="b">
        <f t="shared" ref="S515:S573" si="146">D515=M515</f>
        <v>1</v>
      </c>
      <c r="T515" s="167">
        <f t="shared" ref="T515:T573" si="147">E515-N515</f>
        <v>0</v>
      </c>
      <c r="U515" s="167">
        <f t="shared" ref="U515:U573" si="148">F515-O515</f>
        <v>0</v>
      </c>
      <c r="V515" s="167">
        <f t="shared" ref="V515:V573" si="149">G515-P515</f>
        <v>0</v>
      </c>
    </row>
    <row r="516" spans="1:22" s="101" customFormat="1" ht="20.100000000000001" customHeight="1">
      <c r="A516" s="345"/>
      <c r="B516" s="42" t="s">
        <v>1168</v>
      </c>
      <c r="C516" s="233" t="s">
        <v>247</v>
      </c>
      <c r="D516" s="233" t="s">
        <v>90</v>
      </c>
      <c r="E516" s="234">
        <f>E517</f>
        <v>55928.99</v>
      </c>
      <c r="F516" s="234">
        <f>F517</f>
        <v>42147.31</v>
      </c>
      <c r="G516" s="234">
        <f>G517</f>
        <v>42147.31</v>
      </c>
      <c r="H516" s="234">
        <v>55928.99</v>
      </c>
      <c r="I516" s="234">
        <v>42147.31</v>
      </c>
      <c r="J516" s="234">
        <v>42147.31</v>
      </c>
      <c r="K516" s="42" t="s">
        <v>1168</v>
      </c>
      <c r="L516" s="233" t="s">
        <v>247</v>
      </c>
      <c r="M516" s="233" t="s">
        <v>90</v>
      </c>
      <c r="N516" s="234">
        <v>55928.99</v>
      </c>
      <c r="O516" s="234">
        <v>42147.31</v>
      </c>
      <c r="P516" s="234">
        <v>42147.31</v>
      </c>
      <c r="Q516" s="101" t="b">
        <f t="shared" si="144"/>
        <v>1</v>
      </c>
      <c r="R516" s="101" t="b">
        <f t="shared" si="145"/>
        <v>1</v>
      </c>
      <c r="S516" s="101" t="b">
        <f t="shared" si="146"/>
        <v>1</v>
      </c>
      <c r="T516" s="167">
        <f t="shared" si="147"/>
        <v>0</v>
      </c>
      <c r="U516" s="167">
        <f t="shared" si="148"/>
        <v>0</v>
      </c>
      <c r="V516" s="167">
        <f t="shared" si="149"/>
        <v>0</v>
      </c>
    </row>
    <row r="517" spans="1:22" s="102" customFormat="1" ht="20.100000000000001" customHeight="1">
      <c r="A517" s="346"/>
      <c r="B517" s="241" t="s">
        <v>1203</v>
      </c>
      <c r="C517" s="236" t="s">
        <v>1204</v>
      </c>
      <c r="D517" s="236" t="s">
        <v>90</v>
      </c>
      <c r="E517" s="237">
        <f>E518+E521+E524+E527</f>
        <v>55928.99</v>
      </c>
      <c r="F517" s="237">
        <f>F518+F521+F524+F527</f>
        <v>42147.31</v>
      </c>
      <c r="G517" s="237">
        <f>G518+G521+G524+G527</f>
        <v>42147.31</v>
      </c>
      <c r="H517" s="237">
        <v>55928.99</v>
      </c>
      <c r="I517" s="237">
        <v>42147.31</v>
      </c>
      <c r="J517" s="237">
        <v>42147.31</v>
      </c>
      <c r="K517" s="241" t="s">
        <v>1203</v>
      </c>
      <c r="L517" s="236" t="s">
        <v>1204</v>
      </c>
      <c r="M517" s="236" t="s">
        <v>90</v>
      </c>
      <c r="N517" s="237">
        <v>55928.99</v>
      </c>
      <c r="O517" s="237">
        <v>42147.31</v>
      </c>
      <c r="P517" s="237">
        <v>42147.31</v>
      </c>
      <c r="Q517" s="101" t="b">
        <f t="shared" si="144"/>
        <v>1</v>
      </c>
      <c r="R517" s="101" t="b">
        <f t="shared" si="145"/>
        <v>1</v>
      </c>
      <c r="S517" s="101" t="b">
        <f t="shared" si="146"/>
        <v>1</v>
      </c>
      <c r="T517" s="167">
        <f t="shared" si="147"/>
        <v>0</v>
      </c>
      <c r="U517" s="167">
        <f t="shared" si="148"/>
        <v>0</v>
      </c>
      <c r="V517" s="167">
        <f t="shared" si="149"/>
        <v>0</v>
      </c>
    </row>
    <row r="518" spans="1:22" s="90" customFormat="1" ht="20.100000000000001" customHeight="1">
      <c r="A518" s="347"/>
      <c r="B518" s="178" t="s">
        <v>248</v>
      </c>
      <c r="C518" s="230" t="s">
        <v>1205</v>
      </c>
      <c r="D518" s="230" t="s">
        <v>90</v>
      </c>
      <c r="E518" s="252">
        <f t="shared" ref="E518:G519" si="150">E519</f>
        <v>30032.53</v>
      </c>
      <c r="F518" s="252">
        <f t="shared" si="150"/>
        <v>16250.85</v>
      </c>
      <c r="G518" s="252">
        <f t="shared" si="150"/>
        <v>16250.85</v>
      </c>
      <c r="H518" s="252">
        <v>30032.53</v>
      </c>
      <c r="I518" s="252">
        <v>16250.85</v>
      </c>
      <c r="J518" s="252">
        <v>16250.85</v>
      </c>
      <c r="K518" s="178" t="s">
        <v>248</v>
      </c>
      <c r="L518" s="230" t="s">
        <v>1205</v>
      </c>
      <c r="M518" s="230" t="s">
        <v>90</v>
      </c>
      <c r="N518" s="252">
        <v>30032.53</v>
      </c>
      <c r="O518" s="252">
        <v>16250.85</v>
      </c>
      <c r="P518" s="252">
        <v>16250.85</v>
      </c>
      <c r="Q518" s="101" t="b">
        <f t="shared" si="144"/>
        <v>1</v>
      </c>
      <c r="R518" s="101" t="b">
        <f t="shared" si="145"/>
        <v>1</v>
      </c>
      <c r="S518" s="101" t="b">
        <f t="shared" si="146"/>
        <v>1</v>
      </c>
      <c r="T518" s="167">
        <f t="shared" si="147"/>
        <v>0</v>
      </c>
      <c r="U518" s="167">
        <f t="shared" si="148"/>
        <v>0</v>
      </c>
      <c r="V518" s="167">
        <f t="shared" si="149"/>
        <v>0</v>
      </c>
    </row>
    <row r="519" spans="1:22" s="90" customFormat="1" ht="20.100000000000001" customHeight="1">
      <c r="A519" s="347"/>
      <c r="B519" s="178" t="s">
        <v>197</v>
      </c>
      <c r="C519" s="230" t="s">
        <v>1206</v>
      </c>
      <c r="D519" s="230" t="s">
        <v>90</v>
      </c>
      <c r="E519" s="252">
        <f t="shared" si="150"/>
        <v>30032.53</v>
      </c>
      <c r="F519" s="252">
        <f t="shared" si="150"/>
        <v>16250.85</v>
      </c>
      <c r="G519" s="252">
        <f t="shared" si="150"/>
        <v>16250.85</v>
      </c>
      <c r="H519" s="252">
        <v>30032.53</v>
      </c>
      <c r="I519" s="252">
        <v>16250.85</v>
      </c>
      <c r="J519" s="252">
        <v>16250.85</v>
      </c>
      <c r="K519" s="178" t="s">
        <v>197</v>
      </c>
      <c r="L519" s="230" t="s">
        <v>1206</v>
      </c>
      <c r="M519" s="230" t="s">
        <v>90</v>
      </c>
      <c r="N519" s="252">
        <v>30032.53</v>
      </c>
      <c r="O519" s="252">
        <v>16250.85</v>
      </c>
      <c r="P519" s="252">
        <v>16250.85</v>
      </c>
      <c r="Q519" s="101" t="b">
        <f t="shared" si="144"/>
        <v>1</v>
      </c>
      <c r="R519" s="101" t="b">
        <f t="shared" si="145"/>
        <v>1</v>
      </c>
      <c r="S519" s="101" t="b">
        <f t="shared" si="146"/>
        <v>1</v>
      </c>
      <c r="T519" s="167">
        <f t="shared" si="147"/>
        <v>0</v>
      </c>
      <c r="U519" s="167">
        <f t="shared" si="148"/>
        <v>0</v>
      </c>
      <c r="V519" s="167">
        <f t="shared" si="149"/>
        <v>0</v>
      </c>
    </row>
    <row r="520" spans="1:22" s="90" customFormat="1" ht="20.100000000000001" customHeight="1">
      <c r="A520" s="347"/>
      <c r="B520" s="180" t="s">
        <v>145</v>
      </c>
      <c r="C520" s="230" t="s">
        <v>1206</v>
      </c>
      <c r="D520" s="230" t="s">
        <v>153</v>
      </c>
      <c r="E520" s="252">
        <f>'Вед-я стр-ра'!H82</f>
        <v>30032.53</v>
      </c>
      <c r="F520" s="252">
        <f>'Вед-я стр-ра'!I82</f>
        <v>16250.85</v>
      </c>
      <c r="G520" s="252">
        <f>'Вед-я стр-ра'!J82</f>
        <v>16250.85</v>
      </c>
      <c r="H520" s="252">
        <v>30032.53</v>
      </c>
      <c r="I520" s="252">
        <v>16250.85</v>
      </c>
      <c r="J520" s="252">
        <v>16250.85</v>
      </c>
      <c r="K520" s="180" t="s">
        <v>145</v>
      </c>
      <c r="L520" s="230" t="s">
        <v>1206</v>
      </c>
      <c r="M520" s="230" t="s">
        <v>153</v>
      </c>
      <c r="N520" s="252">
        <v>30032.53</v>
      </c>
      <c r="O520" s="252">
        <v>16250.85</v>
      </c>
      <c r="P520" s="252">
        <v>16250.85</v>
      </c>
      <c r="Q520" s="101" t="b">
        <f t="shared" si="144"/>
        <v>1</v>
      </c>
      <c r="R520" s="101" t="b">
        <f t="shared" si="145"/>
        <v>1</v>
      </c>
      <c r="S520" s="101" t="b">
        <f t="shared" si="146"/>
        <v>1</v>
      </c>
      <c r="T520" s="167">
        <f t="shared" si="147"/>
        <v>0</v>
      </c>
      <c r="U520" s="167">
        <f t="shared" si="148"/>
        <v>0</v>
      </c>
      <c r="V520" s="167">
        <f t="shared" si="149"/>
        <v>0</v>
      </c>
    </row>
    <row r="521" spans="1:22" s="90" customFormat="1" ht="20.100000000000001" customHeight="1">
      <c r="A521" s="347"/>
      <c r="B521" s="515" t="s">
        <v>1246</v>
      </c>
      <c r="C521" s="230" t="s">
        <v>1207</v>
      </c>
      <c r="D521" s="230" t="s">
        <v>90</v>
      </c>
      <c r="E521" s="252">
        <f t="shared" ref="E521:G522" si="151">E522</f>
        <v>5288.96</v>
      </c>
      <c r="F521" s="252">
        <f t="shared" si="151"/>
        <v>5288.96</v>
      </c>
      <c r="G521" s="252">
        <f t="shared" si="151"/>
        <v>5288.96</v>
      </c>
      <c r="H521" s="252">
        <v>5288.96</v>
      </c>
      <c r="I521" s="252">
        <v>5288.96</v>
      </c>
      <c r="J521" s="252">
        <v>5288.96</v>
      </c>
      <c r="K521" s="178" t="s">
        <v>250</v>
      </c>
      <c r="L521" s="230" t="s">
        <v>1207</v>
      </c>
      <c r="M521" s="230" t="s">
        <v>90</v>
      </c>
      <c r="N521" s="252">
        <v>5288.96</v>
      </c>
      <c r="O521" s="252">
        <v>5288.96</v>
      </c>
      <c r="P521" s="252">
        <v>5288.96</v>
      </c>
      <c r="Q521" s="101" t="b">
        <f t="shared" si="144"/>
        <v>0</v>
      </c>
      <c r="R521" s="101" t="b">
        <f t="shared" si="145"/>
        <v>1</v>
      </c>
      <c r="S521" s="101" t="b">
        <f t="shared" si="146"/>
        <v>1</v>
      </c>
      <c r="T521" s="167">
        <f t="shared" si="147"/>
        <v>0</v>
      </c>
      <c r="U521" s="167">
        <f t="shared" si="148"/>
        <v>0</v>
      </c>
      <c r="V521" s="167">
        <f t="shared" si="149"/>
        <v>0</v>
      </c>
    </row>
    <row r="522" spans="1:22" s="90" customFormat="1" ht="20.100000000000001" customHeight="1">
      <c r="A522" s="347"/>
      <c r="B522" s="178" t="s">
        <v>197</v>
      </c>
      <c r="C522" s="230" t="s">
        <v>1208</v>
      </c>
      <c r="D522" s="230" t="s">
        <v>90</v>
      </c>
      <c r="E522" s="252">
        <f t="shared" si="151"/>
        <v>5288.96</v>
      </c>
      <c r="F522" s="252">
        <f t="shared" si="151"/>
        <v>5288.96</v>
      </c>
      <c r="G522" s="252">
        <f t="shared" si="151"/>
        <v>5288.96</v>
      </c>
      <c r="H522" s="252">
        <v>5288.96</v>
      </c>
      <c r="I522" s="252">
        <v>5288.96</v>
      </c>
      <c r="J522" s="252">
        <v>5288.96</v>
      </c>
      <c r="K522" s="178" t="s">
        <v>197</v>
      </c>
      <c r="L522" s="230" t="s">
        <v>1208</v>
      </c>
      <c r="M522" s="230" t="s">
        <v>90</v>
      </c>
      <c r="N522" s="252">
        <v>5288.96</v>
      </c>
      <c r="O522" s="252">
        <v>5288.96</v>
      </c>
      <c r="P522" s="252">
        <v>5288.96</v>
      </c>
      <c r="Q522" s="101" t="b">
        <f t="shared" si="144"/>
        <v>1</v>
      </c>
      <c r="R522" s="101" t="b">
        <f t="shared" si="145"/>
        <v>1</v>
      </c>
      <c r="S522" s="101" t="b">
        <f t="shared" si="146"/>
        <v>1</v>
      </c>
      <c r="T522" s="167">
        <f t="shared" si="147"/>
        <v>0</v>
      </c>
      <c r="U522" s="167">
        <f t="shared" si="148"/>
        <v>0</v>
      </c>
      <c r="V522" s="167">
        <f t="shared" si="149"/>
        <v>0</v>
      </c>
    </row>
    <row r="523" spans="1:22" s="90" customFormat="1" ht="20.100000000000001" customHeight="1">
      <c r="A523" s="347"/>
      <c r="B523" s="180" t="s">
        <v>145</v>
      </c>
      <c r="C523" s="230" t="s">
        <v>1208</v>
      </c>
      <c r="D523" s="230" t="s">
        <v>153</v>
      </c>
      <c r="E523" s="252">
        <f>'Вед-я стр-ра'!H85</f>
        <v>5288.96</v>
      </c>
      <c r="F523" s="252">
        <f>'Вед-я стр-ра'!I85</f>
        <v>5288.96</v>
      </c>
      <c r="G523" s="252">
        <f>'Вед-я стр-ра'!J85</f>
        <v>5288.96</v>
      </c>
      <c r="H523" s="252">
        <v>5288.96</v>
      </c>
      <c r="I523" s="252">
        <v>5288.96</v>
      </c>
      <c r="J523" s="252">
        <v>5288.96</v>
      </c>
      <c r="K523" s="180" t="s">
        <v>145</v>
      </c>
      <c r="L523" s="230" t="s">
        <v>1208</v>
      </c>
      <c r="M523" s="230" t="s">
        <v>153</v>
      </c>
      <c r="N523" s="252">
        <v>5288.96</v>
      </c>
      <c r="O523" s="252">
        <v>5288.96</v>
      </c>
      <c r="P523" s="252">
        <v>5288.96</v>
      </c>
      <c r="Q523" s="101" t="b">
        <f t="shared" si="144"/>
        <v>1</v>
      </c>
      <c r="R523" s="101" t="b">
        <f t="shared" si="145"/>
        <v>1</v>
      </c>
      <c r="S523" s="101" t="b">
        <f t="shared" si="146"/>
        <v>1</v>
      </c>
      <c r="T523" s="167">
        <f t="shared" si="147"/>
        <v>0</v>
      </c>
      <c r="U523" s="167">
        <f t="shared" si="148"/>
        <v>0</v>
      </c>
      <c r="V523" s="167">
        <f t="shared" si="149"/>
        <v>0</v>
      </c>
    </row>
    <row r="524" spans="1:22" s="90" customFormat="1" ht="20.100000000000001" customHeight="1">
      <c r="A524" s="347"/>
      <c r="B524" s="178" t="s">
        <v>252</v>
      </c>
      <c r="C524" s="230" t="s">
        <v>1209</v>
      </c>
      <c r="D524" s="230" t="s">
        <v>90</v>
      </c>
      <c r="E524" s="252">
        <f t="shared" ref="E524:G525" si="152">E525</f>
        <v>7240.5</v>
      </c>
      <c r="F524" s="252">
        <f t="shared" si="152"/>
        <v>7240.5</v>
      </c>
      <c r="G524" s="252">
        <f t="shared" si="152"/>
        <v>7240.5</v>
      </c>
      <c r="H524" s="252">
        <v>7240.5</v>
      </c>
      <c r="I524" s="252">
        <v>7240.5</v>
      </c>
      <c r="J524" s="252">
        <v>7240.5</v>
      </c>
      <c r="K524" s="178" t="s">
        <v>252</v>
      </c>
      <c r="L524" s="230" t="s">
        <v>1209</v>
      </c>
      <c r="M524" s="230" t="s">
        <v>90</v>
      </c>
      <c r="N524" s="252">
        <v>7240.5</v>
      </c>
      <c r="O524" s="252">
        <v>7240.5</v>
      </c>
      <c r="P524" s="252">
        <v>7240.5</v>
      </c>
      <c r="Q524" s="101" t="b">
        <f t="shared" si="144"/>
        <v>1</v>
      </c>
      <c r="R524" s="101" t="b">
        <f t="shared" si="145"/>
        <v>1</v>
      </c>
      <c r="S524" s="101" t="b">
        <f t="shared" si="146"/>
        <v>1</v>
      </c>
      <c r="T524" s="167">
        <f t="shared" si="147"/>
        <v>0</v>
      </c>
      <c r="U524" s="167">
        <f t="shared" si="148"/>
        <v>0</v>
      </c>
      <c r="V524" s="167">
        <f t="shared" si="149"/>
        <v>0</v>
      </c>
    </row>
    <row r="525" spans="1:22" s="90" customFormat="1" ht="20.100000000000001" customHeight="1">
      <c r="A525" s="347"/>
      <c r="B525" s="54" t="s">
        <v>156</v>
      </c>
      <c r="C525" s="230" t="s">
        <v>1210</v>
      </c>
      <c r="D525" s="230" t="s">
        <v>90</v>
      </c>
      <c r="E525" s="252">
        <f t="shared" si="152"/>
        <v>7240.5</v>
      </c>
      <c r="F525" s="252">
        <f t="shared" si="152"/>
        <v>7240.5</v>
      </c>
      <c r="G525" s="252">
        <f t="shared" si="152"/>
        <v>7240.5</v>
      </c>
      <c r="H525" s="252">
        <v>7240.5</v>
      </c>
      <c r="I525" s="252">
        <v>7240.5</v>
      </c>
      <c r="J525" s="252">
        <v>7240.5</v>
      </c>
      <c r="K525" s="54" t="s">
        <v>156</v>
      </c>
      <c r="L525" s="230" t="s">
        <v>1210</v>
      </c>
      <c r="M525" s="230" t="s">
        <v>90</v>
      </c>
      <c r="N525" s="252">
        <v>7240.5</v>
      </c>
      <c r="O525" s="252">
        <v>7240.5</v>
      </c>
      <c r="P525" s="252">
        <v>7240.5</v>
      </c>
      <c r="Q525" s="101" t="b">
        <f t="shared" si="144"/>
        <v>1</v>
      </c>
      <c r="R525" s="101" t="b">
        <f t="shared" si="145"/>
        <v>1</v>
      </c>
      <c r="S525" s="101" t="b">
        <f t="shared" si="146"/>
        <v>1</v>
      </c>
      <c r="T525" s="167">
        <f t="shared" si="147"/>
        <v>0</v>
      </c>
      <c r="U525" s="167">
        <f t="shared" si="148"/>
        <v>0</v>
      </c>
      <c r="V525" s="167">
        <f t="shared" si="149"/>
        <v>0</v>
      </c>
    </row>
    <row r="526" spans="1:22" s="90" customFormat="1" ht="20.100000000000001" customHeight="1">
      <c r="A526" s="347"/>
      <c r="B526" s="180" t="s">
        <v>145</v>
      </c>
      <c r="C526" s="230" t="s">
        <v>1210</v>
      </c>
      <c r="D526" s="230" t="s">
        <v>153</v>
      </c>
      <c r="E526" s="252">
        <f>'Вед-я стр-ра'!H153+'Вед-я стр-ра'!H159</f>
        <v>7240.5</v>
      </c>
      <c r="F526" s="252">
        <f>'Вед-я стр-ра'!I153+'Вед-я стр-ра'!I159</f>
        <v>7240.5</v>
      </c>
      <c r="G526" s="252">
        <f>'Вед-я стр-ра'!J153+'Вед-я стр-ра'!J159</f>
        <v>7240.5</v>
      </c>
      <c r="H526" s="252">
        <v>7240.5</v>
      </c>
      <c r="I526" s="252">
        <v>7240.5</v>
      </c>
      <c r="J526" s="252">
        <v>7240.5</v>
      </c>
      <c r="K526" s="180" t="s">
        <v>145</v>
      </c>
      <c r="L526" s="230" t="s">
        <v>1210</v>
      </c>
      <c r="M526" s="230" t="s">
        <v>153</v>
      </c>
      <c r="N526" s="252">
        <v>7240.5</v>
      </c>
      <c r="O526" s="252">
        <v>7240.5</v>
      </c>
      <c r="P526" s="252">
        <v>7240.5</v>
      </c>
      <c r="Q526" s="101" t="b">
        <f t="shared" si="144"/>
        <v>1</v>
      </c>
      <c r="R526" s="101" t="b">
        <f t="shared" si="145"/>
        <v>1</v>
      </c>
      <c r="S526" s="101" t="b">
        <f t="shared" si="146"/>
        <v>1</v>
      </c>
      <c r="T526" s="167">
        <f t="shared" si="147"/>
        <v>0</v>
      </c>
      <c r="U526" s="167">
        <f t="shared" si="148"/>
        <v>0</v>
      </c>
      <c r="V526" s="167">
        <f t="shared" si="149"/>
        <v>0</v>
      </c>
    </row>
    <row r="527" spans="1:22" s="90" customFormat="1" ht="20.100000000000001" customHeight="1">
      <c r="A527" s="347"/>
      <c r="B527" s="178" t="s">
        <v>521</v>
      </c>
      <c r="C527" s="230" t="s">
        <v>1211</v>
      </c>
      <c r="D527" s="230" t="s">
        <v>90</v>
      </c>
      <c r="E527" s="252">
        <f t="shared" ref="E527:G528" si="153">E528</f>
        <v>13367</v>
      </c>
      <c r="F527" s="252">
        <f t="shared" si="153"/>
        <v>13367</v>
      </c>
      <c r="G527" s="252">
        <f t="shared" si="153"/>
        <v>13367</v>
      </c>
      <c r="H527" s="252">
        <v>13367</v>
      </c>
      <c r="I527" s="252">
        <v>13367</v>
      </c>
      <c r="J527" s="252">
        <v>13367</v>
      </c>
      <c r="K527" s="178" t="s">
        <v>521</v>
      </c>
      <c r="L527" s="230" t="s">
        <v>1211</v>
      </c>
      <c r="M527" s="230" t="s">
        <v>90</v>
      </c>
      <c r="N527" s="252">
        <v>13367</v>
      </c>
      <c r="O527" s="252">
        <v>13367</v>
      </c>
      <c r="P527" s="252">
        <v>13367</v>
      </c>
      <c r="Q527" s="101" t="b">
        <f t="shared" si="144"/>
        <v>1</v>
      </c>
      <c r="R527" s="101" t="b">
        <f t="shared" si="145"/>
        <v>1</v>
      </c>
      <c r="S527" s="101" t="b">
        <f t="shared" si="146"/>
        <v>1</v>
      </c>
      <c r="T527" s="167">
        <f t="shared" si="147"/>
        <v>0</v>
      </c>
      <c r="U527" s="167">
        <f t="shared" si="148"/>
        <v>0</v>
      </c>
      <c r="V527" s="167">
        <f t="shared" si="149"/>
        <v>0</v>
      </c>
    </row>
    <row r="528" spans="1:22" s="90" customFormat="1" ht="20.100000000000001" customHeight="1">
      <c r="A528" s="347"/>
      <c r="B528" s="54" t="s">
        <v>198</v>
      </c>
      <c r="C528" s="37" t="s">
        <v>1212</v>
      </c>
      <c r="D528" s="230" t="s">
        <v>90</v>
      </c>
      <c r="E528" s="252">
        <f t="shared" si="153"/>
        <v>13367</v>
      </c>
      <c r="F528" s="252">
        <f t="shared" si="153"/>
        <v>13367</v>
      </c>
      <c r="G528" s="252">
        <f t="shared" si="153"/>
        <v>13367</v>
      </c>
      <c r="H528" s="252">
        <v>13367</v>
      </c>
      <c r="I528" s="252">
        <v>13367</v>
      </c>
      <c r="J528" s="252">
        <v>13367</v>
      </c>
      <c r="K528" s="54" t="s">
        <v>198</v>
      </c>
      <c r="L528" s="37" t="s">
        <v>1212</v>
      </c>
      <c r="M528" s="230" t="s">
        <v>90</v>
      </c>
      <c r="N528" s="252">
        <v>13367</v>
      </c>
      <c r="O528" s="252">
        <v>13367</v>
      </c>
      <c r="P528" s="252">
        <v>13367</v>
      </c>
      <c r="Q528" s="101" t="b">
        <f t="shared" si="144"/>
        <v>1</v>
      </c>
      <c r="R528" s="101" t="b">
        <f t="shared" si="145"/>
        <v>1</v>
      </c>
      <c r="S528" s="101" t="b">
        <f t="shared" si="146"/>
        <v>1</v>
      </c>
      <c r="T528" s="167">
        <f t="shared" si="147"/>
        <v>0</v>
      </c>
      <c r="U528" s="167">
        <f t="shared" si="148"/>
        <v>0</v>
      </c>
      <c r="V528" s="167">
        <f t="shared" si="149"/>
        <v>0</v>
      </c>
    </row>
    <row r="529" spans="1:22" s="90" customFormat="1" ht="20.100000000000001" customHeight="1">
      <c r="A529" s="347"/>
      <c r="B529" s="180" t="s">
        <v>492</v>
      </c>
      <c r="C529" s="37" t="s">
        <v>1212</v>
      </c>
      <c r="D529" s="230" t="s">
        <v>139</v>
      </c>
      <c r="E529" s="252">
        <f>'Вед-я стр-ра'!H162</f>
        <v>13367</v>
      </c>
      <c r="F529" s="252">
        <f>'Вед-я стр-ра'!I162</f>
        <v>13367</v>
      </c>
      <c r="G529" s="252">
        <f>'Вед-я стр-ра'!J162</f>
        <v>13367</v>
      </c>
      <c r="H529" s="252">
        <v>13367</v>
      </c>
      <c r="I529" s="252">
        <v>13367</v>
      </c>
      <c r="J529" s="252">
        <v>13367</v>
      </c>
      <c r="K529" s="180" t="s">
        <v>492</v>
      </c>
      <c r="L529" s="37" t="s">
        <v>1212</v>
      </c>
      <c r="M529" s="230" t="s">
        <v>139</v>
      </c>
      <c r="N529" s="252">
        <v>13367</v>
      </c>
      <c r="O529" s="252">
        <v>13367</v>
      </c>
      <c r="P529" s="252">
        <v>13367</v>
      </c>
      <c r="Q529" s="101" t="b">
        <f t="shared" si="144"/>
        <v>1</v>
      </c>
      <c r="R529" s="101" t="b">
        <f t="shared" si="145"/>
        <v>1</v>
      </c>
      <c r="S529" s="101" t="b">
        <f t="shared" si="146"/>
        <v>1</v>
      </c>
      <c r="T529" s="167">
        <f t="shared" si="147"/>
        <v>0</v>
      </c>
      <c r="U529" s="167">
        <f t="shared" si="148"/>
        <v>0</v>
      </c>
      <c r="V529" s="167">
        <f t="shared" si="149"/>
        <v>0</v>
      </c>
    </row>
    <row r="530" spans="1:22" s="97" customFormat="1" ht="20.100000000000001" customHeight="1">
      <c r="A530" s="222"/>
      <c r="B530" s="255"/>
      <c r="C530" s="230"/>
      <c r="D530" s="230"/>
      <c r="E530" s="252"/>
      <c r="F530" s="252"/>
      <c r="G530" s="252"/>
      <c r="H530" s="252"/>
      <c r="I530" s="252"/>
      <c r="J530" s="252"/>
      <c r="K530" s="255"/>
      <c r="L530" s="230"/>
      <c r="M530" s="230"/>
      <c r="N530" s="252"/>
      <c r="O530" s="252"/>
      <c r="P530" s="252"/>
      <c r="Q530" s="101" t="b">
        <f t="shared" si="144"/>
        <v>1</v>
      </c>
      <c r="R530" s="101" t="b">
        <f t="shared" si="145"/>
        <v>1</v>
      </c>
      <c r="S530" s="101" t="b">
        <f t="shared" si="146"/>
        <v>1</v>
      </c>
      <c r="T530" s="167">
        <f t="shared" si="147"/>
        <v>0</v>
      </c>
      <c r="U530" s="167">
        <f t="shared" si="148"/>
        <v>0</v>
      </c>
      <c r="V530" s="167">
        <f t="shared" si="149"/>
        <v>0</v>
      </c>
    </row>
    <row r="531" spans="1:22" s="101" customFormat="1" ht="20.100000000000001" customHeight="1">
      <c r="A531" s="345"/>
      <c r="B531" s="42" t="s">
        <v>667</v>
      </c>
      <c r="C531" s="390" t="s">
        <v>255</v>
      </c>
      <c r="D531" s="233" t="s">
        <v>90</v>
      </c>
      <c r="E531" s="234">
        <f>E532+E562+E552</f>
        <v>168464.35</v>
      </c>
      <c r="F531" s="234">
        <f>F532+F562+F552</f>
        <v>149865.06000000003</v>
      </c>
      <c r="G531" s="234">
        <f>G532+G562+G552</f>
        <v>149865.06000000003</v>
      </c>
      <c r="H531" s="234">
        <v>148120.12</v>
      </c>
      <c r="I531" s="234">
        <v>149865.06000000003</v>
      </c>
      <c r="J531" s="234">
        <v>149865.06000000003</v>
      </c>
      <c r="K531" s="42" t="s">
        <v>667</v>
      </c>
      <c r="L531" s="390" t="s">
        <v>255</v>
      </c>
      <c r="M531" s="233" t="s">
        <v>90</v>
      </c>
      <c r="N531" s="234">
        <v>148453.07</v>
      </c>
      <c r="O531" s="234">
        <v>149865.06000000003</v>
      </c>
      <c r="P531" s="234">
        <v>149865.06000000003</v>
      </c>
      <c r="Q531" s="101" t="b">
        <f t="shared" si="144"/>
        <v>1</v>
      </c>
      <c r="R531" s="101" t="b">
        <f t="shared" si="145"/>
        <v>1</v>
      </c>
      <c r="S531" s="101" t="b">
        <f t="shared" si="146"/>
        <v>1</v>
      </c>
      <c r="T531" s="167">
        <f t="shared" si="147"/>
        <v>20011.28</v>
      </c>
      <c r="U531" s="167">
        <f t="shared" si="148"/>
        <v>0</v>
      </c>
      <c r="V531" s="167">
        <f t="shared" si="149"/>
        <v>0</v>
      </c>
    </row>
    <row r="532" spans="1:22" s="90" customFormat="1" ht="20.100000000000001" customHeight="1">
      <c r="A532" s="347"/>
      <c r="B532" s="28" t="s">
        <v>814</v>
      </c>
      <c r="C532" s="236" t="s">
        <v>256</v>
      </c>
      <c r="D532" s="236" t="s">
        <v>90</v>
      </c>
      <c r="E532" s="237">
        <f>E533+E536+E542+E546</f>
        <v>162637.35</v>
      </c>
      <c r="F532" s="237">
        <f>F533+F536+F542+F546</f>
        <v>144038.06000000003</v>
      </c>
      <c r="G532" s="237">
        <f>G533+G536+G542+G546</f>
        <v>144038.06000000003</v>
      </c>
      <c r="H532" s="237">
        <v>142293.12</v>
      </c>
      <c r="I532" s="237">
        <v>144038.06000000003</v>
      </c>
      <c r="J532" s="237">
        <v>144038.06000000003</v>
      </c>
      <c r="K532" s="28" t="s">
        <v>814</v>
      </c>
      <c r="L532" s="236" t="s">
        <v>256</v>
      </c>
      <c r="M532" s="236" t="s">
        <v>90</v>
      </c>
      <c r="N532" s="237">
        <v>142626.07</v>
      </c>
      <c r="O532" s="237">
        <v>144038.06000000003</v>
      </c>
      <c r="P532" s="237">
        <v>144038.06000000003</v>
      </c>
      <c r="Q532" s="101" t="b">
        <f t="shared" si="144"/>
        <v>1</v>
      </c>
      <c r="R532" s="101" t="b">
        <f t="shared" si="145"/>
        <v>1</v>
      </c>
      <c r="S532" s="101" t="b">
        <f t="shared" si="146"/>
        <v>1</v>
      </c>
      <c r="T532" s="167">
        <f t="shared" si="147"/>
        <v>20011.28</v>
      </c>
      <c r="U532" s="167">
        <f t="shared" si="148"/>
        <v>0</v>
      </c>
      <c r="V532" s="167">
        <f t="shared" si="149"/>
        <v>0</v>
      </c>
    </row>
    <row r="533" spans="1:22" ht="20.100000000000001" customHeight="1">
      <c r="B533" s="182" t="s">
        <v>824</v>
      </c>
      <c r="C533" s="36" t="s">
        <v>466</v>
      </c>
      <c r="D533" s="36" t="s">
        <v>90</v>
      </c>
      <c r="E533" s="69">
        <f>E534</f>
        <v>100</v>
      </c>
      <c r="F533" s="69">
        <f>F534</f>
        <v>100</v>
      </c>
      <c r="G533" s="69">
        <f>G534</f>
        <v>100</v>
      </c>
      <c r="H533" s="69">
        <v>100</v>
      </c>
      <c r="I533" s="69">
        <v>100</v>
      </c>
      <c r="J533" s="69">
        <v>100</v>
      </c>
      <c r="K533" s="182" t="s">
        <v>824</v>
      </c>
      <c r="L533" s="36" t="s">
        <v>466</v>
      </c>
      <c r="M533" s="36" t="s">
        <v>90</v>
      </c>
      <c r="N533" s="69">
        <v>100</v>
      </c>
      <c r="O533" s="69">
        <v>100</v>
      </c>
      <c r="P533" s="69">
        <v>100</v>
      </c>
      <c r="Q533" s="101" t="b">
        <f t="shared" si="144"/>
        <v>1</v>
      </c>
      <c r="R533" s="101" t="b">
        <f t="shared" si="145"/>
        <v>1</v>
      </c>
      <c r="S533" s="101" t="b">
        <f t="shared" si="146"/>
        <v>1</v>
      </c>
      <c r="T533" s="167">
        <f t="shared" si="147"/>
        <v>0</v>
      </c>
      <c r="U533" s="167">
        <f t="shared" si="148"/>
        <v>0</v>
      </c>
      <c r="V533" s="167">
        <f t="shared" si="149"/>
        <v>0</v>
      </c>
    </row>
    <row r="534" spans="1:22" ht="20.100000000000001" customHeight="1">
      <c r="B534" s="182" t="s">
        <v>158</v>
      </c>
      <c r="C534" s="36" t="s">
        <v>467</v>
      </c>
      <c r="D534" s="36" t="s">
        <v>90</v>
      </c>
      <c r="E534" s="69">
        <f>SUM(E535:E535)</f>
        <v>100</v>
      </c>
      <c r="F534" s="69">
        <f>SUM(F535:F535)</f>
        <v>100</v>
      </c>
      <c r="G534" s="69">
        <f>SUM(G535:G535)</f>
        <v>100</v>
      </c>
      <c r="H534" s="69">
        <v>100</v>
      </c>
      <c r="I534" s="69">
        <v>100</v>
      </c>
      <c r="J534" s="69">
        <v>100</v>
      </c>
      <c r="K534" s="182" t="s">
        <v>158</v>
      </c>
      <c r="L534" s="36" t="s">
        <v>467</v>
      </c>
      <c r="M534" s="36" t="s">
        <v>90</v>
      </c>
      <c r="N534" s="69">
        <v>100</v>
      </c>
      <c r="O534" s="69">
        <v>100</v>
      </c>
      <c r="P534" s="69">
        <v>100</v>
      </c>
      <c r="Q534" s="101" t="b">
        <f t="shared" si="144"/>
        <v>1</v>
      </c>
      <c r="R534" s="101" t="b">
        <f t="shared" si="145"/>
        <v>1</v>
      </c>
      <c r="S534" s="101" t="b">
        <f t="shared" si="146"/>
        <v>1</v>
      </c>
      <c r="T534" s="167">
        <f t="shared" si="147"/>
        <v>0</v>
      </c>
      <c r="U534" s="167">
        <f t="shared" si="148"/>
        <v>0</v>
      </c>
      <c r="V534" s="167">
        <f t="shared" si="149"/>
        <v>0</v>
      </c>
    </row>
    <row r="535" spans="1:22" ht="20.100000000000001" customHeight="1">
      <c r="B535" s="47" t="s">
        <v>145</v>
      </c>
      <c r="C535" s="36" t="s">
        <v>467</v>
      </c>
      <c r="D535" s="36" t="s">
        <v>153</v>
      </c>
      <c r="E535" s="183">
        <f>'Вед-я стр-ра'!H90</f>
        <v>100</v>
      </c>
      <c r="F535" s="183">
        <f>'Вед-я стр-ра'!I90</f>
        <v>100</v>
      </c>
      <c r="G535" s="183">
        <f>'Вед-я стр-ра'!J90</f>
        <v>100</v>
      </c>
      <c r="H535" s="183">
        <v>100</v>
      </c>
      <c r="I535" s="183">
        <v>100</v>
      </c>
      <c r="J535" s="183">
        <v>100</v>
      </c>
      <c r="K535" s="47" t="s">
        <v>145</v>
      </c>
      <c r="L535" s="36" t="s">
        <v>467</v>
      </c>
      <c r="M535" s="36" t="s">
        <v>153</v>
      </c>
      <c r="N535" s="183">
        <v>100</v>
      </c>
      <c r="O535" s="183">
        <v>100</v>
      </c>
      <c r="P535" s="183">
        <v>100</v>
      </c>
      <c r="Q535" s="101" t="b">
        <f t="shared" si="144"/>
        <v>1</v>
      </c>
      <c r="R535" s="101" t="b">
        <f t="shared" si="145"/>
        <v>1</v>
      </c>
      <c r="S535" s="101" t="b">
        <f t="shared" si="146"/>
        <v>1</v>
      </c>
      <c r="T535" s="167">
        <f t="shared" si="147"/>
        <v>0</v>
      </c>
      <c r="U535" s="167">
        <f t="shared" si="148"/>
        <v>0</v>
      </c>
      <c r="V535" s="167">
        <f t="shared" si="149"/>
        <v>0</v>
      </c>
    </row>
    <row r="536" spans="1:22" s="97" customFormat="1" ht="20.100000000000001" customHeight="1">
      <c r="A536" s="222"/>
      <c r="B536" s="182" t="s">
        <v>817</v>
      </c>
      <c r="C536" s="56" t="s">
        <v>468</v>
      </c>
      <c r="D536" s="56" t="s">
        <v>90</v>
      </c>
      <c r="E536" s="60">
        <f>E537+E540</f>
        <v>675.3</v>
      </c>
      <c r="F536" s="60">
        <f>F537+F540</f>
        <v>675.3</v>
      </c>
      <c r="G536" s="60">
        <f>G537+G540</f>
        <v>675.3</v>
      </c>
      <c r="H536" s="60">
        <v>675.3</v>
      </c>
      <c r="I536" s="60">
        <v>675.3</v>
      </c>
      <c r="J536" s="60">
        <v>675.3</v>
      </c>
      <c r="K536" s="182" t="s">
        <v>817</v>
      </c>
      <c r="L536" s="56" t="s">
        <v>468</v>
      </c>
      <c r="M536" s="56" t="s">
        <v>90</v>
      </c>
      <c r="N536" s="60">
        <v>675.3</v>
      </c>
      <c r="O536" s="60">
        <v>675.3</v>
      </c>
      <c r="P536" s="60">
        <v>675.3</v>
      </c>
      <c r="Q536" s="101" t="b">
        <f t="shared" si="144"/>
        <v>1</v>
      </c>
      <c r="R536" s="101" t="b">
        <f t="shared" si="145"/>
        <v>1</v>
      </c>
      <c r="S536" s="101" t="b">
        <f t="shared" si="146"/>
        <v>1</v>
      </c>
      <c r="T536" s="167">
        <f t="shared" si="147"/>
        <v>0</v>
      </c>
      <c r="U536" s="167">
        <f t="shared" si="148"/>
        <v>0</v>
      </c>
      <c r="V536" s="167">
        <f t="shared" si="149"/>
        <v>0</v>
      </c>
    </row>
    <row r="537" spans="1:22" s="97" customFormat="1" ht="20.100000000000001" customHeight="1">
      <c r="A537" s="222"/>
      <c r="B537" s="182" t="s">
        <v>158</v>
      </c>
      <c r="C537" s="36" t="s">
        <v>499</v>
      </c>
      <c r="D537" s="36" t="s">
        <v>90</v>
      </c>
      <c r="E537" s="60">
        <f>SUM(E538:E539)</f>
        <v>570.04</v>
      </c>
      <c r="F537" s="60">
        <f>SUM(F538:F539)</f>
        <v>570.04</v>
      </c>
      <c r="G537" s="60">
        <f>SUM(G538:G539)</f>
        <v>570.04</v>
      </c>
      <c r="H537" s="60">
        <v>570.04</v>
      </c>
      <c r="I537" s="60">
        <v>570.04</v>
      </c>
      <c r="J537" s="60">
        <v>570.04</v>
      </c>
      <c r="K537" s="182" t="s">
        <v>158</v>
      </c>
      <c r="L537" s="36" t="s">
        <v>499</v>
      </c>
      <c r="M537" s="36" t="s">
        <v>90</v>
      </c>
      <c r="N537" s="60">
        <v>570.04</v>
      </c>
      <c r="O537" s="60">
        <v>570.04</v>
      </c>
      <c r="P537" s="60">
        <v>570.04</v>
      </c>
      <c r="Q537" s="101" t="b">
        <f t="shared" si="144"/>
        <v>1</v>
      </c>
      <c r="R537" s="101" t="b">
        <f t="shared" si="145"/>
        <v>1</v>
      </c>
      <c r="S537" s="101" t="b">
        <f t="shared" si="146"/>
        <v>1</v>
      </c>
      <c r="T537" s="167">
        <f t="shared" si="147"/>
        <v>0</v>
      </c>
      <c r="U537" s="167">
        <f t="shared" si="148"/>
        <v>0</v>
      </c>
      <c r="V537" s="167">
        <f t="shared" si="149"/>
        <v>0</v>
      </c>
    </row>
    <row r="538" spans="1:22" s="97" customFormat="1" ht="20.100000000000001" customHeight="1">
      <c r="A538" s="222"/>
      <c r="B538" s="47" t="s">
        <v>145</v>
      </c>
      <c r="C538" s="36" t="s">
        <v>499</v>
      </c>
      <c r="D538" s="36" t="s">
        <v>153</v>
      </c>
      <c r="E538" s="183">
        <f>'Вед-я стр-ра'!H93</f>
        <v>180.04</v>
      </c>
      <c r="F538" s="183">
        <f>'Вед-я стр-ра'!I93</f>
        <v>180.04</v>
      </c>
      <c r="G538" s="183">
        <f>'Вед-я стр-ра'!J93</f>
        <v>180.04</v>
      </c>
      <c r="H538" s="183">
        <v>180.04</v>
      </c>
      <c r="I538" s="183">
        <v>180.04</v>
      </c>
      <c r="J538" s="183">
        <v>180.04</v>
      </c>
      <c r="K538" s="47" t="s">
        <v>145</v>
      </c>
      <c r="L538" s="36" t="s">
        <v>499</v>
      </c>
      <c r="M538" s="36" t="s">
        <v>153</v>
      </c>
      <c r="N538" s="183">
        <v>180.04</v>
      </c>
      <c r="O538" s="183">
        <v>180.04</v>
      </c>
      <c r="P538" s="183">
        <v>180.04</v>
      </c>
      <c r="Q538" s="101" t="b">
        <f t="shared" si="144"/>
        <v>1</v>
      </c>
      <c r="R538" s="101" t="b">
        <f t="shared" si="145"/>
        <v>1</v>
      </c>
      <c r="S538" s="101" t="b">
        <f t="shared" si="146"/>
        <v>1</v>
      </c>
      <c r="T538" s="167">
        <f t="shared" si="147"/>
        <v>0</v>
      </c>
      <c r="U538" s="167">
        <f t="shared" si="148"/>
        <v>0</v>
      </c>
      <c r="V538" s="167">
        <f t="shared" si="149"/>
        <v>0</v>
      </c>
    </row>
    <row r="539" spans="1:22" s="97" customFormat="1" ht="20.100000000000001" customHeight="1">
      <c r="A539" s="222"/>
      <c r="B539" s="23" t="s">
        <v>132</v>
      </c>
      <c r="C539" s="36" t="s">
        <v>499</v>
      </c>
      <c r="D539" s="36" t="s">
        <v>171</v>
      </c>
      <c r="E539" s="183">
        <f>'Вед-я стр-ра'!H569</f>
        <v>390</v>
      </c>
      <c r="F539" s="183">
        <f>'Вед-я стр-ра'!I569</f>
        <v>390</v>
      </c>
      <c r="G539" s="183">
        <f>'Вед-я стр-ра'!J569</f>
        <v>390</v>
      </c>
      <c r="H539" s="183">
        <v>390</v>
      </c>
      <c r="I539" s="183">
        <v>390</v>
      </c>
      <c r="J539" s="183">
        <v>390</v>
      </c>
      <c r="K539" s="23" t="s">
        <v>132</v>
      </c>
      <c r="L539" s="36" t="s">
        <v>499</v>
      </c>
      <c r="M539" s="36" t="s">
        <v>171</v>
      </c>
      <c r="N539" s="183">
        <v>390</v>
      </c>
      <c r="O539" s="183">
        <v>390</v>
      </c>
      <c r="P539" s="183">
        <v>390</v>
      </c>
      <c r="Q539" s="101" t="b">
        <f t="shared" si="144"/>
        <v>1</v>
      </c>
      <c r="R539" s="101" t="b">
        <f t="shared" si="145"/>
        <v>1</v>
      </c>
      <c r="S539" s="101" t="b">
        <f t="shared" si="146"/>
        <v>1</v>
      </c>
      <c r="T539" s="167">
        <f t="shared" si="147"/>
        <v>0</v>
      </c>
      <c r="U539" s="167">
        <f t="shared" si="148"/>
        <v>0</v>
      </c>
      <c r="V539" s="167">
        <f t="shared" si="149"/>
        <v>0</v>
      </c>
    </row>
    <row r="540" spans="1:22" s="97" customFormat="1" ht="20.100000000000001" customHeight="1">
      <c r="A540" s="222"/>
      <c r="B540" s="182" t="s">
        <v>914</v>
      </c>
      <c r="C540" s="36" t="s">
        <v>875</v>
      </c>
      <c r="D540" s="36" t="s">
        <v>90</v>
      </c>
      <c r="E540" s="183">
        <f>E541</f>
        <v>105.26</v>
      </c>
      <c r="F540" s="183">
        <f>F541</f>
        <v>105.26</v>
      </c>
      <c r="G540" s="183">
        <f>G541</f>
        <v>105.26</v>
      </c>
      <c r="H540" s="183">
        <v>105.26</v>
      </c>
      <c r="I540" s="183">
        <v>105.26</v>
      </c>
      <c r="J540" s="183">
        <v>105.26</v>
      </c>
      <c r="K540" s="182" t="s">
        <v>914</v>
      </c>
      <c r="L540" s="36" t="s">
        <v>875</v>
      </c>
      <c r="M540" s="36" t="s">
        <v>90</v>
      </c>
      <c r="N540" s="183">
        <v>105.26</v>
      </c>
      <c r="O540" s="183">
        <v>105.26</v>
      </c>
      <c r="P540" s="183">
        <v>105.26</v>
      </c>
      <c r="Q540" s="101" t="b">
        <f t="shared" si="144"/>
        <v>1</v>
      </c>
      <c r="R540" s="101" t="b">
        <f t="shared" si="145"/>
        <v>1</v>
      </c>
      <c r="S540" s="101" t="b">
        <f t="shared" si="146"/>
        <v>1</v>
      </c>
      <c r="T540" s="167">
        <f t="shared" si="147"/>
        <v>0</v>
      </c>
      <c r="U540" s="167">
        <f t="shared" si="148"/>
        <v>0</v>
      </c>
      <c r="V540" s="167">
        <f t="shared" si="149"/>
        <v>0</v>
      </c>
    </row>
    <row r="541" spans="1:22" s="97" customFormat="1" ht="20.100000000000001" customHeight="1">
      <c r="A541" s="222"/>
      <c r="B541" s="47" t="s">
        <v>145</v>
      </c>
      <c r="C541" s="36" t="s">
        <v>875</v>
      </c>
      <c r="D541" s="36" t="s">
        <v>153</v>
      </c>
      <c r="E541" s="183">
        <f>'Вед-я стр-ра'!H95</f>
        <v>105.26</v>
      </c>
      <c r="F541" s="183">
        <f>'Вед-я стр-ра'!I95</f>
        <v>105.26</v>
      </c>
      <c r="G541" s="183">
        <f>'Вед-я стр-ра'!J95</f>
        <v>105.26</v>
      </c>
      <c r="H541" s="183">
        <v>105.26</v>
      </c>
      <c r="I541" s="183">
        <v>105.26</v>
      </c>
      <c r="J541" s="183">
        <v>105.26</v>
      </c>
      <c r="K541" s="47" t="s">
        <v>145</v>
      </c>
      <c r="L541" s="36" t="s">
        <v>875</v>
      </c>
      <c r="M541" s="36" t="s">
        <v>153</v>
      </c>
      <c r="N541" s="183">
        <v>105.26</v>
      </c>
      <c r="O541" s="183">
        <v>105.26</v>
      </c>
      <c r="P541" s="183">
        <v>105.26</v>
      </c>
      <c r="Q541" s="101" t="b">
        <f t="shared" si="144"/>
        <v>1</v>
      </c>
      <c r="R541" s="101" t="b">
        <f t="shared" si="145"/>
        <v>1</v>
      </c>
      <c r="S541" s="101" t="b">
        <f t="shared" si="146"/>
        <v>1</v>
      </c>
      <c r="T541" s="167">
        <f t="shared" si="147"/>
        <v>0</v>
      </c>
      <c r="U541" s="167">
        <f t="shared" si="148"/>
        <v>0</v>
      </c>
      <c r="V541" s="167">
        <f t="shared" si="149"/>
        <v>0</v>
      </c>
    </row>
    <row r="542" spans="1:22" s="97" customFormat="1" ht="20.100000000000001" customHeight="1">
      <c r="A542" s="222"/>
      <c r="B542" s="182" t="s">
        <v>818</v>
      </c>
      <c r="C542" s="36" t="s">
        <v>815</v>
      </c>
      <c r="D542" s="36" t="s">
        <v>90</v>
      </c>
      <c r="E542" s="69">
        <f>E543</f>
        <v>127.8</v>
      </c>
      <c r="F542" s="69">
        <f t="shared" ref="F542:G542" si="154">F543</f>
        <v>127.8</v>
      </c>
      <c r="G542" s="69">
        <f t="shared" si="154"/>
        <v>127.8</v>
      </c>
      <c r="H542" s="69">
        <v>127.8</v>
      </c>
      <c r="I542" s="69">
        <v>127.8</v>
      </c>
      <c r="J542" s="69">
        <v>127.8</v>
      </c>
      <c r="K542" s="182" t="s">
        <v>818</v>
      </c>
      <c r="L542" s="36" t="s">
        <v>815</v>
      </c>
      <c r="M542" s="36" t="s">
        <v>90</v>
      </c>
      <c r="N542" s="69">
        <v>127.8</v>
      </c>
      <c r="O542" s="69">
        <v>127.8</v>
      </c>
      <c r="P542" s="69">
        <v>127.8</v>
      </c>
      <c r="Q542" s="101" t="b">
        <f t="shared" si="144"/>
        <v>1</v>
      </c>
      <c r="R542" s="101" t="b">
        <f t="shared" si="145"/>
        <v>1</v>
      </c>
      <c r="S542" s="101" t="b">
        <f t="shared" si="146"/>
        <v>1</v>
      </c>
      <c r="T542" s="167">
        <f t="shared" si="147"/>
        <v>0</v>
      </c>
      <c r="U542" s="167">
        <f t="shared" si="148"/>
        <v>0</v>
      </c>
      <c r="V542" s="167">
        <f t="shared" si="149"/>
        <v>0</v>
      </c>
    </row>
    <row r="543" spans="1:22" s="97" customFormat="1" ht="20.100000000000001" customHeight="1">
      <c r="A543" s="222"/>
      <c r="B543" s="182" t="s">
        <v>158</v>
      </c>
      <c r="C543" s="36" t="s">
        <v>816</v>
      </c>
      <c r="D543" s="36" t="s">
        <v>90</v>
      </c>
      <c r="E543" s="60">
        <f>SUM(E544:E545)</f>
        <v>127.8</v>
      </c>
      <c r="F543" s="60">
        <f>SUM(F544:F545)</f>
        <v>127.8</v>
      </c>
      <c r="G543" s="60">
        <f>SUM(G544:G545)</f>
        <v>127.8</v>
      </c>
      <c r="H543" s="60">
        <v>127.8</v>
      </c>
      <c r="I543" s="60">
        <v>127.8</v>
      </c>
      <c r="J543" s="60">
        <v>127.8</v>
      </c>
      <c r="K543" s="182" t="s">
        <v>158</v>
      </c>
      <c r="L543" s="36" t="s">
        <v>816</v>
      </c>
      <c r="M543" s="36" t="s">
        <v>90</v>
      </c>
      <c r="N543" s="60">
        <v>127.8</v>
      </c>
      <c r="O543" s="60">
        <v>127.8</v>
      </c>
      <c r="P543" s="60">
        <v>127.8</v>
      </c>
      <c r="Q543" s="101" t="b">
        <f t="shared" si="144"/>
        <v>1</v>
      </c>
      <c r="R543" s="101" t="b">
        <f t="shared" si="145"/>
        <v>1</v>
      </c>
      <c r="S543" s="101" t="b">
        <f t="shared" si="146"/>
        <v>1</v>
      </c>
      <c r="T543" s="167">
        <f t="shared" si="147"/>
        <v>0</v>
      </c>
      <c r="U543" s="167">
        <f t="shared" si="148"/>
        <v>0</v>
      </c>
      <c r="V543" s="167">
        <f t="shared" si="149"/>
        <v>0</v>
      </c>
    </row>
    <row r="544" spans="1:22" s="97" customFormat="1" ht="20.100000000000001" customHeight="1">
      <c r="A544" s="222"/>
      <c r="B544" s="47" t="s">
        <v>145</v>
      </c>
      <c r="C544" s="36" t="s">
        <v>816</v>
      </c>
      <c r="D544" s="36" t="s">
        <v>153</v>
      </c>
      <c r="E544" s="183">
        <f>'Вед-я стр-ра'!H98</f>
        <v>51.3</v>
      </c>
      <c r="F544" s="183">
        <f>'Вед-я стр-ра'!I98</f>
        <v>51.3</v>
      </c>
      <c r="G544" s="183">
        <f>'Вед-я стр-ра'!J98</f>
        <v>51.3</v>
      </c>
      <c r="H544" s="183">
        <v>51.3</v>
      </c>
      <c r="I544" s="183">
        <v>51.3</v>
      </c>
      <c r="J544" s="183">
        <v>51.3</v>
      </c>
      <c r="K544" s="47" t="s">
        <v>145</v>
      </c>
      <c r="L544" s="36" t="s">
        <v>816</v>
      </c>
      <c r="M544" s="36" t="s">
        <v>153</v>
      </c>
      <c r="N544" s="183">
        <v>51.3</v>
      </c>
      <c r="O544" s="183">
        <v>51.3</v>
      </c>
      <c r="P544" s="183">
        <v>51.3</v>
      </c>
      <c r="Q544" s="101" t="b">
        <f t="shared" si="144"/>
        <v>1</v>
      </c>
      <c r="R544" s="101" t="b">
        <f t="shared" si="145"/>
        <v>1</v>
      </c>
      <c r="S544" s="101" t="b">
        <f t="shared" si="146"/>
        <v>1</v>
      </c>
      <c r="T544" s="167">
        <f t="shared" si="147"/>
        <v>0</v>
      </c>
      <c r="U544" s="167">
        <f t="shared" si="148"/>
        <v>0</v>
      </c>
      <c r="V544" s="167">
        <f t="shared" si="149"/>
        <v>0</v>
      </c>
    </row>
    <row r="545" spans="1:22" s="97" customFormat="1" ht="20.100000000000001" customHeight="1">
      <c r="A545" s="222"/>
      <c r="B545" s="23" t="s">
        <v>132</v>
      </c>
      <c r="C545" s="36" t="s">
        <v>816</v>
      </c>
      <c r="D545" s="36" t="s">
        <v>171</v>
      </c>
      <c r="E545" s="183">
        <f>'Вед-я стр-ра'!H624</f>
        <v>76.5</v>
      </c>
      <c r="F545" s="183">
        <f>'Вед-я стр-ра'!I624</f>
        <v>76.5</v>
      </c>
      <c r="G545" s="183">
        <f>'Вед-я стр-ра'!J624</f>
        <v>76.5</v>
      </c>
      <c r="H545" s="183">
        <v>76.5</v>
      </c>
      <c r="I545" s="183">
        <v>76.5</v>
      </c>
      <c r="J545" s="183">
        <v>76.5</v>
      </c>
      <c r="K545" s="23" t="s">
        <v>132</v>
      </c>
      <c r="L545" s="36" t="s">
        <v>816</v>
      </c>
      <c r="M545" s="36" t="s">
        <v>171</v>
      </c>
      <c r="N545" s="183">
        <v>76.5</v>
      </c>
      <c r="O545" s="183">
        <v>76.5</v>
      </c>
      <c r="P545" s="183">
        <v>76.5</v>
      </c>
      <c r="Q545" s="101" t="b">
        <f t="shared" si="144"/>
        <v>1</v>
      </c>
      <c r="R545" s="101" t="b">
        <f t="shared" si="145"/>
        <v>1</v>
      </c>
      <c r="S545" s="101" t="b">
        <f t="shared" si="146"/>
        <v>1</v>
      </c>
      <c r="T545" s="167">
        <f t="shared" si="147"/>
        <v>0</v>
      </c>
      <c r="U545" s="167">
        <f t="shared" si="148"/>
        <v>0</v>
      </c>
      <c r="V545" s="167">
        <f t="shared" si="149"/>
        <v>0</v>
      </c>
    </row>
    <row r="546" spans="1:22" s="97" customFormat="1" ht="20.100000000000001" customHeight="1">
      <c r="A546" s="222"/>
      <c r="B546" s="182" t="s">
        <v>1023</v>
      </c>
      <c r="C546" s="56" t="s">
        <v>1022</v>
      </c>
      <c r="D546" s="56" t="s">
        <v>90</v>
      </c>
      <c r="E546" s="69">
        <f>E547+E550</f>
        <v>161734.25</v>
      </c>
      <c r="F546" s="69">
        <f>F547</f>
        <v>143134.96000000002</v>
      </c>
      <c r="G546" s="69">
        <f>G547</f>
        <v>143134.96000000002</v>
      </c>
      <c r="H546" s="69">
        <v>141390.01999999999</v>
      </c>
      <c r="I546" s="69">
        <v>143134.96000000002</v>
      </c>
      <c r="J546" s="69">
        <v>143134.96000000002</v>
      </c>
      <c r="K546" s="182" t="s">
        <v>1023</v>
      </c>
      <c r="L546" s="56" t="s">
        <v>1022</v>
      </c>
      <c r="M546" s="56" t="s">
        <v>90</v>
      </c>
      <c r="N546" s="69">
        <v>141722.97</v>
      </c>
      <c r="O546" s="69">
        <v>143134.96000000002</v>
      </c>
      <c r="P546" s="69">
        <v>143134.96000000002</v>
      </c>
      <c r="Q546" s="101" t="b">
        <f t="shared" si="144"/>
        <v>1</v>
      </c>
      <c r="R546" s="101" t="b">
        <f t="shared" si="145"/>
        <v>1</v>
      </c>
      <c r="S546" s="101" t="b">
        <f t="shared" si="146"/>
        <v>1</v>
      </c>
      <c r="T546" s="167">
        <f t="shared" si="147"/>
        <v>20011.28</v>
      </c>
      <c r="U546" s="167">
        <f t="shared" si="148"/>
        <v>0</v>
      </c>
      <c r="V546" s="167">
        <f t="shared" si="149"/>
        <v>0</v>
      </c>
    </row>
    <row r="547" spans="1:22" s="97" customFormat="1" ht="20.100000000000001" customHeight="1">
      <c r="A547" s="222"/>
      <c r="B547" s="23" t="s">
        <v>1028</v>
      </c>
      <c r="C547" s="37" t="s">
        <v>1027</v>
      </c>
      <c r="D547" s="37" t="s">
        <v>90</v>
      </c>
      <c r="E547" s="183">
        <f>E548+E549</f>
        <v>141390.01999999999</v>
      </c>
      <c r="F547" s="183">
        <f>F548+F549</f>
        <v>143134.96000000002</v>
      </c>
      <c r="G547" s="183">
        <f>G548+G549</f>
        <v>143134.96000000002</v>
      </c>
      <c r="H547" s="183">
        <v>141390.01999999999</v>
      </c>
      <c r="I547" s="183">
        <v>143134.96000000002</v>
      </c>
      <c r="J547" s="183">
        <v>143134.96000000002</v>
      </c>
      <c r="K547" s="23" t="s">
        <v>1028</v>
      </c>
      <c r="L547" s="37" t="s">
        <v>1027</v>
      </c>
      <c r="M547" s="37" t="s">
        <v>90</v>
      </c>
      <c r="N547" s="183">
        <v>141390.01999999999</v>
      </c>
      <c r="O547" s="183">
        <v>143134.96000000002</v>
      </c>
      <c r="P547" s="183">
        <v>143134.96000000002</v>
      </c>
      <c r="Q547" s="101" t="b">
        <f t="shared" si="144"/>
        <v>1</v>
      </c>
      <c r="R547" s="101" t="b">
        <f t="shared" si="145"/>
        <v>1</v>
      </c>
      <c r="S547" s="101" t="b">
        <f t="shared" si="146"/>
        <v>1</v>
      </c>
      <c r="T547" s="167">
        <f t="shared" si="147"/>
        <v>0</v>
      </c>
      <c r="U547" s="167">
        <f t="shared" si="148"/>
        <v>0</v>
      </c>
      <c r="V547" s="167">
        <f t="shared" si="149"/>
        <v>0</v>
      </c>
    </row>
    <row r="548" spans="1:22" s="97" customFormat="1" ht="20.100000000000001" customHeight="1">
      <c r="A548" s="222"/>
      <c r="B548" s="23" t="s">
        <v>132</v>
      </c>
      <c r="C548" s="37" t="s">
        <v>1027</v>
      </c>
      <c r="D548" s="37" t="s">
        <v>171</v>
      </c>
      <c r="E548" s="183">
        <f>'Вед-я стр-ра'!H341+'Вед-я стр-ра'!H396+'Вед-я стр-ра'!H434+'Вед-я стр-ра'!H534+'Вед-я стр-ра'!H627+'Вед-я стр-ра'!H863+'Вед-я стр-ра'!H1171+'Вед-я стр-ра'!H830</f>
        <v>120298.4</v>
      </c>
      <c r="F548" s="183">
        <f>'Вед-я стр-ра'!I341+'Вед-я стр-ра'!I396+'Вед-я стр-ра'!I434+'Вед-я стр-ра'!I534+'Вед-я стр-ра'!I627+'Вед-я стр-ра'!I863+'Вед-я стр-ра'!I1171+'Вед-я стр-ра'!I830</f>
        <v>122043.34000000001</v>
      </c>
      <c r="G548" s="183">
        <f>'Вед-я стр-ра'!J341+'Вед-я стр-ра'!J396+'Вед-я стр-ра'!J434+'Вед-я стр-ра'!J534+'Вед-я стр-ра'!J627+'Вед-я стр-ра'!J863+'Вед-я стр-ра'!J1171+'Вед-я стр-ра'!J830</f>
        <v>122043.34000000001</v>
      </c>
      <c r="H548" s="183">
        <v>120298.4</v>
      </c>
      <c r="I548" s="183">
        <v>122043.34000000001</v>
      </c>
      <c r="J548" s="183">
        <v>122043.34000000001</v>
      </c>
      <c r="K548" s="23" t="s">
        <v>132</v>
      </c>
      <c r="L548" s="37" t="s">
        <v>1027</v>
      </c>
      <c r="M548" s="37" t="s">
        <v>171</v>
      </c>
      <c r="N548" s="183">
        <v>120582.92</v>
      </c>
      <c r="O548" s="183">
        <v>122327.86000000002</v>
      </c>
      <c r="P548" s="183">
        <v>122327.86000000002</v>
      </c>
      <c r="Q548" s="101" t="b">
        <f t="shared" si="144"/>
        <v>1</v>
      </c>
      <c r="R548" s="101" t="b">
        <f t="shared" si="145"/>
        <v>1</v>
      </c>
      <c r="S548" s="101" t="b">
        <f t="shared" si="146"/>
        <v>1</v>
      </c>
      <c r="T548" s="167">
        <f t="shared" si="147"/>
        <v>-284.52000000000407</v>
      </c>
      <c r="U548" s="167">
        <f t="shared" si="148"/>
        <v>-284.52000000000407</v>
      </c>
      <c r="V548" s="167">
        <f t="shared" si="149"/>
        <v>-284.52000000000407</v>
      </c>
    </row>
    <row r="549" spans="1:22" s="97" customFormat="1" ht="20.100000000000001" customHeight="1">
      <c r="A549" s="222"/>
      <c r="B549" s="23" t="s">
        <v>133</v>
      </c>
      <c r="C549" s="37" t="s">
        <v>1027</v>
      </c>
      <c r="D549" s="37" t="s">
        <v>19</v>
      </c>
      <c r="E549" s="183">
        <f>'Вед-я стр-ра'!H342+'Вед-я стр-ра'!H397+'Вед-я стр-ра'!H435+'Вед-я стр-ра'!H535+'Вед-я стр-ра'!H628</f>
        <v>21091.620000000003</v>
      </c>
      <c r="F549" s="183">
        <f>'Вед-я стр-ра'!I342+'Вед-я стр-ра'!I397+'Вед-я стр-ра'!I435+'Вед-я стр-ра'!I535+'Вед-я стр-ра'!I628</f>
        <v>21091.620000000003</v>
      </c>
      <c r="G549" s="183">
        <f>'Вед-я стр-ра'!J342+'Вед-я стр-ра'!J397+'Вед-я стр-ра'!J435+'Вед-я стр-ра'!J535+'Вед-я стр-ра'!J628</f>
        <v>21091.620000000003</v>
      </c>
      <c r="H549" s="183">
        <v>21091.620000000003</v>
      </c>
      <c r="I549" s="183">
        <v>21091.620000000003</v>
      </c>
      <c r="J549" s="183">
        <v>21091.620000000003</v>
      </c>
      <c r="K549" s="23" t="s">
        <v>133</v>
      </c>
      <c r="L549" s="37" t="s">
        <v>1027</v>
      </c>
      <c r="M549" s="37" t="s">
        <v>19</v>
      </c>
      <c r="N549" s="183">
        <v>20807.099999999999</v>
      </c>
      <c r="O549" s="183">
        <v>20807.099999999999</v>
      </c>
      <c r="P549" s="183">
        <v>20807.099999999999</v>
      </c>
      <c r="Q549" s="101" t="b">
        <f t="shared" si="144"/>
        <v>1</v>
      </c>
      <c r="R549" s="101" t="b">
        <f t="shared" si="145"/>
        <v>1</v>
      </c>
      <c r="S549" s="101" t="b">
        <f t="shared" si="146"/>
        <v>1</v>
      </c>
      <c r="T549" s="167">
        <f t="shared" si="147"/>
        <v>284.52000000000407</v>
      </c>
      <c r="U549" s="167">
        <f t="shared" si="148"/>
        <v>284.52000000000407</v>
      </c>
      <c r="V549" s="167">
        <f t="shared" si="149"/>
        <v>284.52000000000407</v>
      </c>
    </row>
    <row r="550" spans="1:22" s="97" customFormat="1" ht="20.100000000000001" customHeight="1">
      <c r="A550" s="222"/>
      <c r="B550" s="23" t="s">
        <v>1127</v>
      </c>
      <c r="C550" s="37" t="s">
        <v>1126</v>
      </c>
      <c r="D550" s="37" t="s">
        <v>90</v>
      </c>
      <c r="E550" s="183">
        <f>E551</f>
        <v>20344.23</v>
      </c>
      <c r="F550" s="183">
        <f t="shared" ref="F550:G550" si="155">F551</f>
        <v>0</v>
      </c>
      <c r="G550" s="183">
        <f t="shared" si="155"/>
        <v>0</v>
      </c>
      <c r="H550" s="183"/>
      <c r="I550" s="183"/>
      <c r="J550" s="183"/>
      <c r="K550" s="23"/>
      <c r="L550" s="37"/>
      <c r="M550" s="37"/>
      <c r="N550" s="183"/>
      <c r="O550" s="183"/>
      <c r="P550" s="183"/>
      <c r="Q550" s="101"/>
      <c r="R550" s="101"/>
      <c r="S550" s="101"/>
      <c r="T550" s="167"/>
      <c r="U550" s="167"/>
      <c r="V550" s="167"/>
    </row>
    <row r="551" spans="1:22" s="97" customFormat="1" ht="20.100000000000001" customHeight="1">
      <c r="A551" s="222"/>
      <c r="B551" s="23" t="s">
        <v>132</v>
      </c>
      <c r="C551" s="37" t="s">
        <v>1126</v>
      </c>
      <c r="D551" s="37" t="s">
        <v>171</v>
      </c>
      <c r="E551" s="183">
        <f>'Вед-я стр-ра'!H399</f>
        <v>20344.23</v>
      </c>
      <c r="F551" s="183">
        <f>'Вед-я стр-ра'!I399</f>
        <v>0</v>
      </c>
      <c r="G551" s="183">
        <f>'Вед-я стр-ра'!J399</f>
        <v>0</v>
      </c>
      <c r="H551" s="183"/>
      <c r="I551" s="183"/>
      <c r="J551" s="183"/>
      <c r="K551" s="23"/>
      <c r="L551" s="37"/>
      <c r="M551" s="37"/>
      <c r="N551" s="183"/>
      <c r="O551" s="183"/>
      <c r="P551" s="183"/>
      <c r="Q551" s="101"/>
      <c r="R551" s="101"/>
      <c r="S551" s="101"/>
      <c r="T551" s="167"/>
      <c r="U551" s="167"/>
      <c r="V551" s="167"/>
    </row>
    <row r="552" spans="1:22" s="97" customFormat="1" ht="20.100000000000001" customHeight="1">
      <c r="A552" s="222"/>
      <c r="B552" s="28" t="s">
        <v>669</v>
      </c>
      <c r="C552" s="236" t="s">
        <v>257</v>
      </c>
      <c r="D552" s="236" t="s">
        <v>90</v>
      </c>
      <c r="E552" s="237">
        <f>E553+E558</f>
        <v>5175.58</v>
      </c>
      <c r="F552" s="237">
        <f t="shared" ref="F552:G552" si="156">F553+F558</f>
        <v>5175.58</v>
      </c>
      <c r="G552" s="237">
        <f t="shared" si="156"/>
        <v>5175.58</v>
      </c>
      <c r="H552" s="237">
        <v>5175.58</v>
      </c>
      <c r="I552" s="237">
        <v>5175.58</v>
      </c>
      <c r="J552" s="237">
        <v>5175.58</v>
      </c>
      <c r="K552" s="28" t="s">
        <v>669</v>
      </c>
      <c r="L552" s="236" t="s">
        <v>257</v>
      </c>
      <c r="M552" s="236" t="s">
        <v>90</v>
      </c>
      <c r="N552" s="237">
        <v>5175.58</v>
      </c>
      <c r="O552" s="237">
        <v>5175.58</v>
      </c>
      <c r="P552" s="237">
        <v>5175.58</v>
      </c>
      <c r="Q552" s="101" t="b">
        <f t="shared" si="144"/>
        <v>1</v>
      </c>
      <c r="R552" s="101" t="b">
        <f t="shared" si="145"/>
        <v>1</v>
      </c>
      <c r="S552" s="101" t="b">
        <f t="shared" si="146"/>
        <v>1</v>
      </c>
      <c r="T552" s="167">
        <f t="shared" si="147"/>
        <v>0</v>
      </c>
      <c r="U552" s="167">
        <f t="shared" si="148"/>
        <v>0</v>
      </c>
      <c r="V552" s="167">
        <f t="shared" si="149"/>
        <v>0</v>
      </c>
    </row>
    <row r="553" spans="1:22" s="97" customFormat="1" ht="43.5" customHeight="1">
      <c r="A553" s="222"/>
      <c r="B553" s="253" t="s">
        <v>533</v>
      </c>
      <c r="C553" s="230" t="s">
        <v>680</v>
      </c>
      <c r="D553" s="230" t="s">
        <v>90</v>
      </c>
      <c r="E553" s="252">
        <f>E554</f>
        <v>4675.58</v>
      </c>
      <c r="F553" s="252">
        <f>F554</f>
        <v>4675.58</v>
      </c>
      <c r="G553" s="252">
        <f>G554</f>
        <v>4675.58</v>
      </c>
      <c r="H553" s="252">
        <v>4675.58</v>
      </c>
      <c r="I553" s="252">
        <v>4675.58</v>
      </c>
      <c r="J553" s="252">
        <v>4675.58</v>
      </c>
      <c r="K553" s="253" t="s">
        <v>533</v>
      </c>
      <c r="L553" s="230" t="s">
        <v>680</v>
      </c>
      <c r="M553" s="230" t="s">
        <v>90</v>
      </c>
      <c r="N553" s="252">
        <v>4675.58</v>
      </c>
      <c r="O553" s="252">
        <v>4675.58</v>
      </c>
      <c r="P553" s="252">
        <v>4675.58</v>
      </c>
      <c r="Q553" s="101" t="b">
        <f t="shared" si="144"/>
        <v>1</v>
      </c>
      <c r="R553" s="101" t="b">
        <f t="shared" si="145"/>
        <v>1</v>
      </c>
      <c r="S553" s="101" t="b">
        <f t="shared" si="146"/>
        <v>1</v>
      </c>
      <c r="T553" s="167">
        <f t="shared" si="147"/>
        <v>0</v>
      </c>
      <c r="U553" s="167">
        <f t="shared" si="148"/>
        <v>0</v>
      </c>
      <c r="V553" s="167">
        <f t="shared" si="149"/>
        <v>0</v>
      </c>
    </row>
    <row r="554" spans="1:22" s="97" customFormat="1" ht="57.75" customHeight="1">
      <c r="A554" s="222"/>
      <c r="B554" s="253" t="s">
        <v>168</v>
      </c>
      <c r="C554" s="230" t="s">
        <v>893</v>
      </c>
      <c r="D554" s="230" t="s">
        <v>90</v>
      </c>
      <c r="E554" s="252">
        <f>E556+E555+E557</f>
        <v>4675.58</v>
      </c>
      <c r="F554" s="252">
        <f>F556+F555+F557</f>
        <v>4675.58</v>
      </c>
      <c r="G554" s="252">
        <f>G556+G555+G557</f>
        <v>4675.58</v>
      </c>
      <c r="H554" s="252">
        <v>4675.58</v>
      </c>
      <c r="I554" s="252">
        <v>4675.58</v>
      </c>
      <c r="J554" s="252">
        <v>4675.58</v>
      </c>
      <c r="K554" s="253" t="s">
        <v>168</v>
      </c>
      <c r="L554" s="230" t="s">
        <v>893</v>
      </c>
      <c r="M554" s="230" t="s">
        <v>90</v>
      </c>
      <c r="N554" s="252">
        <v>4675.58</v>
      </c>
      <c r="O554" s="252">
        <v>4675.58</v>
      </c>
      <c r="P554" s="252">
        <v>4675.58</v>
      </c>
      <c r="Q554" s="101" t="b">
        <f t="shared" si="144"/>
        <v>1</v>
      </c>
      <c r="R554" s="101" t="b">
        <f t="shared" si="145"/>
        <v>1</v>
      </c>
      <c r="S554" s="101" t="b">
        <f t="shared" si="146"/>
        <v>1</v>
      </c>
      <c r="T554" s="167">
        <f t="shared" si="147"/>
        <v>0</v>
      </c>
      <c r="U554" s="167">
        <f t="shared" si="148"/>
        <v>0</v>
      </c>
      <c r="V554" s="167">
        <f t="shared" si="149"/>
        <v>0</v>
      </c>
    </row>
    <row r="555" spans="1:22" s="97" customFormat="1" ht="20.100000000000001" customHeight="1">
      <c r="A555" s="222"/>
      <c r="B555" s="253" t="s">
        <v>145</v>
      </c>
      <c r="C555" s="230" t="s">
        <v>893</v>
      </c>
      <c r="D555" s="230">
        <v>240</v>
      </c>
      <c r="E555" s="252">
        <f>'Вед-я стр-ра'!H266</f>
        <v>7.65</v>
      </c>
      <c r="F555" s="252">
        <f>'Вед-я стр-ра'!I266</f>
        <v>7.65</v>
      </c>
      <c r="G555" s="252">
        <f>'Вед-я стр-ра'!J266</f>
        <v>7.65</v>
      </c>
      <c r="H555" s="252">
        <v>7.65</v>
      </c>
      <c r="I555" s="252">
        <v>7.65</v>
      </c>
      <c r="J555" s="252">
        <v>7.65</v>
      </c>
      <c r="K555" s="253" t="s">
        <v>145</v>
      </c>
      <c r="L555" s="230" t="s">
        <v>893</v>
      </c>
      <c r="M555" s="230">
        <v>240</v>
      </c>
      <c r="N555" s="252">
        <v>7.65</v>
      </c>
      <c r="O555" s="252">
        <v>7.65</v>
      </c>
      <c r="P555" s="252">
        <v>7.65</v>
      </c>
      <c r="Q555" s="101" t="b">
        <f t="shared" si="144"/>
        <v>1</v>
      </c>
      <c r="R555" s="101" t="b">
        <f t="shared" si="145"/>
        <v>1</v>
      </c>
      <c r="S555" s="101" t="b">
        <f t="shared" si="146"/>
        <v>1</v>
      </c>
      <c r="T555" s="167">
        <f t="shared" si="147"/>
        <v>0</v>
      </c>
      <c r="U555" s="167">
        <f t="shared" si="148"/>
        <v>0</v>
      </c>
      <c r="V555" s="167">
        <f t="shared" si="149"/>
        <v>0</v>
      </c>
    </row>
    <row r="556" spans="1:22" s="97" customFormat="1" ht="20.100000000000001" customHeight="1">
      <c r="A556" s="222"/>
      <c r="B556" s="253" t="s">
        <v>132</v>
      </c>
      <c r="C556" s="230" t="s">
        <v>893</v>
      </c>
      <c r="D556" s="230">
        <v>610</v>
      </c>
      <c r="E556" s="252">
        <f>'Вед-я стр-ра'!H403</f>
        <v>4467.93</v>
      </c>
      <c r="F556" s="252">
        <f>'Вед-я стр-ра'!I403</f>
        <v>4467.93</v>
      </c>
      <c r="G556" s="252">
        <f>'Вед-я стр-ра'!J403</f>
        <v>4467.93</v>
      </c>
      <c r="H556" s="252">
        <v>4467.93</v>
      </c>
      <c r="I556" s="252">
        <v>4467.93</v>
      </c>
      <c r="J556" s="252">
        <v>4467.93</v>
      </c>
      <c r="K556" s="253" t="s">
        <v>132</v>
      </c>
      <c r="L556" s="230" t="s">
        <v>893</v>
      </c>
      <c r="M556" s="230">
        <v>610</v>
      </c>
      <c r="N556" s="252">
        <v>4467.93</v>
      </c>
      <c r="O556" s="252">
        <v>4467.93</v>
      </c>
      <c r="P556" s="252">
        <v>4467.93</v>
      </c>
      <c r="Q556" s="101" t="b">
        <f t="shared" si="144"/>
        <v>1</v>
      </c>
      <c r="R556" s="101" t="b">
        <f t="shared" si="145"/>
        <v>1</v>
      </c>
      <c r="S556" s="101" t="b">
        <f t="shared" si="146"/>
        <v>1</v>
      </c>
      <c r="T556" s="167">
        <f t="shared" si="147"/>
        <v>0</v>
      </c>
      <c r="U556" s="167">
        <f t="shared" si="148"/>
        <v>0</v>
      </c>
      <c r="V556" s="167">
        <f t="shared" si="149"/>
        <v>0</v>
      </c>
    </row>
    <row r="557" spans="1:22" s="97" customFormat="1" ht="20.100000000000001" customHeight="1">
      <c r="A557" s="222"/>
      <c r="B557" s="23" t="s">
        <v>133</v>
      </c>
      <c r="C557" s="230" t="s">
        <v>893</v>
      </c>
      <c r="D557" s="230">
        <v>620</v>
      </c>
      <c r="E557" s="252">
        <f>'Вед-я стр-ра'!H404+'Вед-я стр-ра'!H439</f>
        <v>200</v>
      </c>
      <c r="F557" s="252">
        <f>'Вед-я стр-ра'!I404+'Вед-я стр-ра'!I439</f>
        <v>200</v>
      </c>
      <c r="G557" s="252">
        <f>'Вед-я стр-ра'!J404+'Вед-я стр-ра'!J439</f>
        <v>200</v>
      </c>
      <c r="H557" s="252">
        <v>200</v>
      </c>
      <c r="I557" s="252">
        <v>200</v>
      </c>
      <c r="J557" s="252">
        <v>200</v>
      </c>
      <c r="K557" s="23" t="s">
        <v>133</v>
      </c>
      <c r="L557" s="230" t="s">
        <v>893</v>
      </c>
      <c r="M557" s="230">
        <v>620</v>
      </c>
      <c r="N557" s="252">
        <v>200</v>
      </c>
      <c r="O557" s="252">
        <v>200</v>
      </c>
      <c r="P557" s="252">
        <v>200</v>
      </c>
      <c r="Q557" s="101" t="b">
        <f t="shared" si="144"/>
        <v>1</v>
      </c>
      <c r="R557" s="101" t="b">
        <f t="shared" si="145"/>
        <v>1</v>
      </c>
      <c r="S557" s="101" t="b">
        <f t="shared" si="146"/>
        <v>1</v>
      </c>
      <c r="T557" s="167">
        <f t="shared" si="147"/>
        <v>0</v>
      </c>
      <c r="U557" s="167">
        <f t="shared" si="148"/>
        <v>0</v>
      </c>
      <c r="V557" s="167">
        <f t="shared" si="149"/>
        <v>0</v>
      </c>
    </row>
    <row r="558" spans="1:22" s="97" customFormat="1" ht="20.100000000000001" customHeight="1">
      <c r="A558" s="222"/>
      <c r="B558" s="178" t="s">
        <v>591</v>
      </c>
      <c r="C558" s="230" t="s">
        <v>258</v>
      </c>
      <c r="D558" s="230" t="s">
        <v>90</v>
      </c>
      <c r="E558" s="252">
        <f>E559</f>
        <v>500</v>
      </c>
      <c r="F558" s="252">
        <f t="shared" ref="F558:G558" si="157">F559</f>
        <v>500</v>
      </c>
      <c r="G558" s="252">
        <f t="shared" si="157"/>
        <v>500</v>
      </c>
      <c r="H558" s="252">
        <v>500</v>
      </c>
      <c r="I558" s="252">
        <v>500</v>
      </c>
      <c r="J558" s="252">
        <v>500</v>
      </c>
      <c r="K558" s="178" t="s">
        <v>591</v>
      </c>
      <c r="L558" s="230" t="s">
        <v>258</v>
      </c>
      <c r="M558" s="230" t="s">
        <v>90</v>
      </c>
      <c r="N558" s="252">
        <v>500</v>
      </c>
      <c r="O558" s="252">
        <v>500</v>
      </c>
      <c r="P558" s="252">
        <v>500</v>
      </c>
      <c r="Q558" s="101" t="b">
        <f t="shared" si="144"/>
        <v>1</v>
      </c>
      <c r="R558" s="101" t="b">
        <f t="shared" si="145"/>
        <v>1</v>
      </c>
      <c r="S558" s="101" t="b">
        <f t="shared" si="146"/>
        <v>1</v>
      </c>
      <c r="T558" s="167">
        <f t="shared" si="147"/>
        <v>0</v>
      </c>
      <c r="U558" s="167">
        <f t="shared" si="148"/>
        <v>0</v>
      </c>
      <c r="V558" s="167">
        <f t="shared" si="149"/>
        <v>0</v>
      </c>
    </row>
    <row r="559" spans="1:22" s="97" customFormat="1" ht="20.100000000000001" customHeight="1">
      <c r="A559" s="222"/>
      <c r="B559" s="178" t="s">
        <v>590</v>
      </c>
      <c r="C559" s="230" t="s">
        <v>894</v>
      </c>
      <c r="D559" s="230" t="s">
        <v>90</v>
      </c>
      <c r="E559" s="252">
        <f>E560+E561</f>
        <v>500</v>
      </c>
      <c r="F559" s="252">
        <f t="shared" ref="F559:G559" si="158">F560+F561</f>
        <v>500</v>
      </c>
      <c r="G559" s="252">
        <f t="shared" si="158"/>
        <v>500</v>
      </c>
      <c r="H559" s="252">
        <v>500</v>
      </c>
      <c r="I559" s="252">
        <v>500</v>
      </c>
      <c r="J559" s="252">
        <v>500</v>
      </c>
      <c r="K559" s="178" t="s">
        <v>590</v>
      </c>
      <c r="L559" s="230" t="s">
        <v>894</v>
      </c>
      <c r="M559" s="230" t="s">
        <v>90</v>
      </c>
      <c r="N559" s="252">
        <v>500</v>
      </c>
      <c r="O559" s="252">
        <v>500</v>
      </c>
      <c r="P559" s="252">
        <v>500</v>
      </c>
      <c r="Q559" s="101" t="b">
        <f t="shared" si="144"/>
        <v>1</v>
      </c>
      <c r="R559" s="101" t="b">
        <f t="shared" si="145"/>
        <v>1</v>
      </c>
      <c r="S559" s="101" t="b">
        <f t="shared" si="146"/>
        <v>1</v>
      </c>
      <c r="T559" s="167">
        <f t="shared" si="147"/>
        <v>0</v>
      </c>
      <c r="U559" s="167">
        <f t="shared" si="148"/>
        <v>0</v>
      </c>
      <c r="V559" s="167">
        <f t="shared" si="149"/>
        <v>0</v>
      </c>
    </row>
    <row r="560" spans="1:22" s="97" customFormat="1" ht="20.100000000000001" customHeight="1">
      <c r="A560" s="222"/>
      <c r="B560" s="180" t="s">
        <v>144</v>
      </c>
      <c r="C560" s="230" t="s">
        <v>894</v>
      </c>
      <c r="D560" s="230">
        <v>120</v>
      </c>
      <c r="E560" s="252">
        <f>'Вед-я стр-ра'!H131</f>
        <v>470</v>
      </c>
      <c r="F560" s="252">
        <f>'Вед-я стр-ра'!I131</f>
        <v>470</v>
      </c>
      <c r="G560" s="252">
        <f>'Вед-я стр-ра'!J131</f>
        <v>470</v>
      </c>
      <c r="H560" s="252">
        <v>470</v>
      </c>
      <c r="I560" s="252">
        <v>470</v>
      </c>
      <c r="J560" s="252">
        <v>470</v>
      </c>
      <c r="K560" s="180" t="s">
        <v>144</v>
      </c>
      <c r="L560" s="230" t="s">
        <v>894</v>
      </c>
      <c r="M560" s="230">
        <v>120</v>
      </c>
      <c r="N560" s="252">
        <v>470</v>
      </c>
      <c r="O560" s="252">
        <v>470</v>
      </c>
      <c r="P560" s="252">
        <v>470</v>
      </c>
      <c r="Q560" s="101" t="b">
        <f t="shared" si="144"/>
        <v>1</v>
      </c>
      <c r="R560" s="101" t="b">
        <f t="shared" si="145"/>
        <v>1</v>
      </c>
      <c r="S560" s="101" t="b">
        <f t="shared" si="146"/>
        <v>1</v>
      </c>
      <c r="T560" s="167">
        <f t="shared" si="147"/>
        <v>0</v>
      </c>
      <c r="U560" s="167">
        <f t="shared" si="148"/>
        <v>0</v>
      </c>
      <c r="V560" s="167">
        <f t="shared" si="149"/>
        <v>0</v>
      </c>
    </row>
    <row r="561" spans="1:22" s="97" customFormat="1" ht="20.100000000000001" customHeight="1">
      <c r="A561" s="222"/>
      <c r="B561" s="182" t="s">
        <v>145</v>
      </c>
      <c r="C561" s="230" t="s">
        <v>894</v>
      </c>
      <c r="D561" s="230">
        <v>240</v>
      </c>
      <c r="E561" s="252">
        <f>'Вед-я стр-ра'!H132</f>
        <v>30</v>
      </c>
      <c r="F561" s="252">
        <f>'Вед-я стр-ра'!I132</f>
        <v>30</v>
      </c>
      <c r="G561" s="252">
        <f>'Вед-я стр-ра'!J132</f>
        <v>30</v>
      </c>
      <c r="H561" s="252">
        <v>30</v>
      </c>
      <c r="I561" s="252">
        <v>30</v>
      </c>
      <c r="J561" s="252">
        <v>30</v>
      </c>
      <c r="K561" s="182" t="s">
        <v>145</v>
      </c>
      <c r="L561" s="230" t="s">
        <v>894</v>
      </c>
      <c r="M561" s="230">
        <v>240</v>
      </c>
      <c r="N561" s="252">
        <v>30</v>
      </c>
      <c r="O561" s="252">
        <v>30</v>
      </c>
      <c r="P561" s="252">
        <v>30</v>
      </c>
      <c r="Q561" s="101" t="b">
        <f t="shared" si="144"/>
        <v>1</v>
      </c>
      <c r="R561" s="101" t="b">
        <f t="shared" si="145"/>
        <v>1</v>
      </c>
      <c r="S561" s="101" t="b">
        <f t="shared" si="146"/>
        <v>1</v>
      </c>
      <c r="T561" s="167">
        <f t="shared" si="147"/>
        <v>0</v>
      </c>
      <c r="U561" s="167">
        <f t="shared" si="148"/>
        <v>0</v>
      </c>
      <c r="V561" s="167">
        <f t="shared" si="149"/>
        <v>0</v>
      </c>
    </row>
    <row r="562" spans="1:22" s="90" customFormat="1" ht="20.100000000000001" customHeight="1">
      <c r="A562" s="347"/>
      <c r="B562" s="28" t="s">
        <v>668</v>
      </c>
      <c r="C562" s="236" t="s">
        <v>259</v>
      </c>
      <c r="D562" s="236" t="s">
        <v>90</v>
      </c>
      <c r="E562" s="237">
        <f>E566+E571+E563</f>
        <v>651.42000000000007</v>
      </c>
      <c r="F562" s="237">
        <f>F566+F571+F563</f>
        <v>651.42000000000007</v>
      </c>
      <c r="G562" s="237">
        <f>G566+G571+G563</f>
        <v>651.42000000000007</v>
      </c>
      <c r="H562" s="237">
        <v>651.42000000000007</v>
      </c>
      <c r="I562" s="237">
        <v>651.42000000000007</v>
      </c>
      <c r="J562" s="237">
        <v>651.42000000000007</v>
      </c>
      <c r="K562" s="28" t="s">
        <v>668</v>
      </c>
      <c r="L562" s="236" t="s">
        <v>259</v>
      </c>
      <c r="M562" s="236" t="s">
        <v>90</v>
      </c>
      <c r="N562" s="237">
        <v>651.42000000000007</v>
      </c>
      <c r="O562" s="237">
        <v>651.42000000000007</v>
      </c>
      <c r="P562" s="237">
        <v>651.42000000000007</v>
      </c>
      <c r="Q562" s="101" t="b">
        <f t="shared" si="144"/>
        <v>1</v>
      </c>
      <c r="R562" s="101" t="b">
        <f t="shared" si="145"/>
        <v>1</v>
      </c>
      <c r="S562" s="101" t="b">
        <f t="shared" si="146"/>
        <v>1</v>
      </c>
      <c r="T562" s="167">
        <f t="shared" si="147"/>
        <v>0</v>
      </c>
      <c r="U562" s="167">
        <f t="shared" si="148"/>
        <v>0</v>
      </c>
      <c r="V562" s="167">
        <f t="shared" si="149"/>
        <v>0</v>
      </c>
    </row>
    <row r="563" spans="1:22" s="90" customFormat="1" ht="20.100000000000001" customHeight="1">
      <c r="A563" s="347"/>
      <c r="B563" s="178" t="s">
        <v>679</v>
      </c>
      <c r="C563" s="256" t="s">
        <v>308</v>
      </c>
      <c r="D563" s="230" t="s">
        <v>90</v>
      </c>
      <c r="E563" s="252">
        <f t="shared" ref="E563:G564" si="159">E564</f>
        <v>74.97</v>
      </c>
      <c r="F563" s="252">
        <f t="shared" si="159"/>
        <v>74.97</v>
      </c>
      <c r="G563" s="252">
        <f t="shared" si="159"/>
        <v>74.97</v>
      </c>
      <c r="H563" s="252">
        <v>74.97</v>
      </c>
      <c r="I563" s="252">
        <v>74.97</v>
      </c>
      <c r="J563" s="252">
        <v>74.97</v>
      </c>
      <c r="K563" s="178" t="s">
        <v>679</v>
      </c>
      <c r="L563" s="256" t="s">
        <v>308</v>
      </c>
      <c r="M563" s="230" t="s">
        <v>90</v>
      </c>
      <c r="N563" s="252">
        <v>74.97</v>
      </c>
      <c r="O563" s="252">
        <v>74.97</v>
      </c>
      <c r="P563" s="252">
        <v>74.97</v>
      </c>
      <c r="Q563" s="101" t="b">
        <f t="shared" si="144"/>
        <v>1</v>
      </c>
      <c r="R563" s="101" t="b">
        <f t="shared" si="145"/>
        <v>1</v>
      </c>
      <c r="S563" s="101" t="b">
        <f t="shared" si="146"/>
        <v>1</v>
      </c>
      <c r="T563" s="167">
        <f t="shared" si="147"/>
        <v>0</v>
      </c>
      <c r="U563" s="167">
        <f t="shared" si="148"/>
        <v>0</v>
      </c>
      <c r="V563" s="167">
        <f t="shared" si="149"/>
        <v>0</v>
      </c>
    </row>
    <row r="564" spans="1:22" s="90" customFormat="1" ht="20.100000000000001" customHeight="1">
      <c r="A564" s="347"/>
      <c r="B564" s="182" t="s">
        <v>810</v>
      </c>
      <c r="C564" s="256" t="s">
        <v>895</v>
      </c>
      <c r="D564" s="230" t="s">
        <v>90</v>
      </c>
      <c r="E564" s="252">
        <f t="shared" si="159"/>
        <v>74.97</v>
      </c>
      <c r="F564" s="252">
        <f t="shared" si="159"/>
        <v>74.97</v>
      </c>
      <c r="G564" s="252">
        <f t="shared" si="159"/>
        <v>74.97</v>
      </c>
      <c r="H564" s="252">
        <v>74.97</v>
      </c>
      <c r="I564" s="252">
        <v>74.97</v>
      </c>
      <c r="J564" s="252">
        <v>74.97</v>
      </c>
      <c r="K564" s="182" t="s">
        <v>810</v>
      </c>
      <c r="L564" s="256" t="s">
        <v>895</v>
      </c>
      <c r="M564" s="230" t="s">
        <v>90</v>
      </c>
      <c r="N564" s="252">
        <v>74.97</v>
      </c>
      <c r="O564" s="252">
        <v>74.97</v>
      </c>
      <c r="P564" s="252">
        <v>74.97</v>
      </c>
      <c r="Q564" s="101" t="b">
        <f t="shared" si="144"/>
        <v>1</v>
      </c>
      <c r="R564" s="101" t="b">
        <f t="shared" si="145"/>
        <v>1</v>
      </c>
      <c r="S564" s="101" t="b">
        <f t="shared" si="146"/>
        <v>1</v>
      </c>
      <c r="T564" s="167">
        <f t="shared" si="147"/>
        <v>0</v>
      </c>
      <c r="U564" s="167">
        <f t="shared" si="148"/>
        <v>0</v>
      </c>
      <c r="V564" s="167">
        <f t="shared" si="149"/>
        <v>0</v>
      </c>
    </row>
    <row r="565" spans="1:22" s="90" customFormat="1" ht="20.100000000000001" customHeight="1">
      <c r="A565" s="347"/>
      <c r="B565" s="178" t="s">
        <v>145</v>
      </c>
      <c r="C565" s="256" t="s">
        <v>895</v>
      </c>
      <c r="D565" s="230" t="s">
        <v>153</v>
      </c>
      <c r="E565" s="252">
        <f>'Вед-я стр-ра'!H102</f>
        <v>74.97</v>
      </c>
      <c r="F565" s="252">
        <f>'Вед-я стр-ра'!I102</f>
        <v>74.97</v>
      </c>
      <c r="G565" s="252">
        <f>'Вед-я стр-ра'!J102</f>
        <v>74.97</v>
      </c>
      <c r="H565" s="252">
        <v>74.97</v>
      </c>
      <c r="I565" s="252">
        <v>74.97</v>
      </c>
      <c r="J565" s="252">
        <v>74.97</v>
      </c>
      <c r="K565" s="178" t="s">
        <v>145</v>
      </c>
      <c r="L565" s="256" t="s">
        <v>895</v>
      </c>
      <c r="M565" s="230" t="s">
        <v>153</v>
      </c>
      <c r="N565" s="252">
        <v>74.97</v>
      </c>
      <c r="O565" s="252">
        <v>74.97</v>
      </c>
      <c r="P565" s="252">
        <v>74.97</v>
      </c>
      <c r="Q565" s="101" t="b">
        <f t="shared" si="144"/>
        <v>1</v>
      </c>
      <c r="R565" s="101" t="b">
        <f t="shared" si="145"/>
        <v>1</v>
      </c>
      <c r="S565" s="101" t="b">
        <f t="shared" si="146"/>
        <v>1</v>
      </c>
      <c r="T565" s="167">
        <f t="shared" si="147"/>
        <v>0</v>
      </c>
      <c r="U565" s="167">
        <f t="shared" si="148"/>
        <v>0</v>
      </c>
      <c r="V565" s="167">
        <f t="shared" si="149"/>
        <v>0</v>
      </c>
    </row>
    <row r="566" spans="1:22" s="90" customFormat="1" ht="20.100000000000001" customHeight="1">
      <c r="A566" s="347"/>
      <c r="B566" s="178" t="s">
        <v>528</v>
      </c>
      <c r="C566" s="256" t="s">
        <v>469</v>
      </c>
      <c r="D566" s="230" t="s">
        <v>90</v>
      </c>
      <c r="E566" s="252">
        <f>E567</f>
        <v>313.64999999999998</v>
      </c>
      <c r="F566" s="252">
        <f>F567</f>
        <v>313.64999999999998</v>
      </c>
      <c r="G566" s="252">
        <f>G567</f>
        <v>313.64999999999998</v>
      </c>
      <c r="H566" s="252">
        <v>313.64999999999998</v>
      </c>
      <c r="I566" s="252">
        <v>313.64999999999998</v>
      </c>
      <c r="J566" s="252">
        <v>313.64999999999998</v>
      </c>
      <c r="K566" s="178" t="s">
        <v>528</v>
      </c>
      <c r="L566" s="256" t="s">
        <v>469</v>
      </c>
      <c r="M566" s="230" t="s">
        <v>90</v>
      </c>
      <c r="N566" s="252">
        <v>313.64999999999998</v>
      </c>
      <c r="O566" s="252">
        <v>313.64999999999998</v>
      </c>
      <c r="P566" s="252">
        <v>313.64999999999998</v>
      </c>
      <c r="Q566" s="101" t="b">
        <f t="shared" si="144"/>
        <v>1</v>
      </c>
      <c r="R566" s="101" t="b">
        <f t="shared" si="145"/>
        <v>1</v>
      </c>
      <c r="S566" s="101" t="b">
        <f t="shared" si="146"/>
        <v>1</v>
      </c>
      <c r="T566" s="167">
        <f t="shared" si="147"/>
        <v>0</v>
      </c>
      <c r="U566" s="167">
        <f t="shared" si="148"/>
        <v>0</v>
      </c>
      <c r="V566" s="167">
        <f t="shared" si="149"/>
        <v>0</v>
      </c>
    </row>
    <row r="567" spans="1:22" s="90" customFormat="1" ht="20.100000000000001" customHeight="1">
      <c r="A567" s="347"/>
      <c r="B567" s="54" t="s">
        <v>810</v>
      </c>
      <c r="C567" s="230" t="s">
        <v>892</v>
      </c>
      <c r="D567" s="230" t="s">
        <v>90</v>
      </c>
      <c r="E567" s="252">
        <f>E569+E568+E570</f>
        <v>313.64999999999998</v>
      </c>
      <c r="F567" s="252">
        <f>F569+F568+F570</f>
        <v>313.64999999999998</v>
      </c>
      <c r="G567" s="252">
        <f>G569+G568+G570</f>
        <v>313.64999999999998</v>
      </c>
      <c r="H567" s="252">
        <v>313.64999999999998</v>
      </c>
      <c r="I567" s="252">
        <v>313.64999999999998</v>
      </c>
      <c r="J567" s="252">
        <v>313.64999999999998</v>
      </c>
      <c r="K567" s="54" t="s">
        <v>810</v>
      </c>
      <c r="L567" s="230" t="s">
        <v>892</v>
      </c>
      <c r="M567" s="230" t="s">
        <v>90</v>
      </c>
      <c r="N567" s="252">
        <v>313.64999999999998</v>
      </c>
      <c r="O567" s="252">
        <v>313.64999999999998</v>
      </c>
      <c r="P567" s="252">
        <v>313.64999999999998</v>
      </c>
      <c r="Q567" s="101" t="b">
        <f t="shared" si="144"/>
        <v>1</v>
      </c>
      <c r="R567" s="101" t="b">
        <f t="shared" si="145"/>
        <v>1</v>
      </c>
      <c r="S567" s="101" t="b">
        <f t="shared" si="146"/>
        <v>1</v>
      </c>
      <c r="T567" s="167">
        <f t="shared" si="147"/>
        <v>0</v>
      </c>
      <c r="U567" s="167">
        <f t="shared" si="148"/>
        <v>0</v>
      </c>
      <c r="V567" s="167">
        <f t="shared" si="149"/>
        <v>0</v>
      </c>
    </row>
    <row r="568" spans="1:22" s="90" customFormat="1" ht="20.100000000000001" customHeight="1">
      <c r="A568" s="347"/>
      <c r="B568" s="180" t="s">
        <v>145</v>
      </c>
      <c r="C568" s="230" t="s">
        <v>892</v>
      </c>
      <c r="D568" s="230">
        <v>240</v>
      </c>
      <c r="E568" s="252">
        <f>'Вед-я стр-ра'!H105</f>
        <v>13.5</v>
      </c>
      <c r="F568" s="252">
        <f>'Вед-я стр-ра'!I105</f>
        <v>13.5</v>
      </c>
      <c r="G568" s="252">
        <f>'Вед-я стр-ра'!J105</f>
        <v>13.5</v>
      </c>
      <c r="H568" s="252">
        <v>13.5</v>
      </c>
      <c r="I568" s="252">
        <v>13.5</v>
      </c>
      <c r="J568" s="252">
        <v>13.5</v>
      </c>
      <c r="K568" s="180" t="s">
        <v>145</v>
      </c>
      <c r="L568" s="230" t="s">
        <v>892</v>
      </c>
      <c r="M568" s="230">
        <v>240</v>
      </c>
      <c r="N568" s="252">
        <v>13.5</v>
      </c>
      <c r="O568" s="252">
        <v>13.5</v>
      </c>
      <c r="P568" s="252">
        <v>13.5</v>
      </c>
      <c r="Q568" s="101" t="b">
        <f t="shared" si="144"/>
        <v>1</v>
      </c>
      <c r="R568" s="101" t="b">
        <f t="shared" si="145"/>
        <v>1</v>
      </c>
      <c r="S568" s="101" t="b">
        <f t="shared" si="146"/>
        <v>1</v>
      </c>
      <c r="T568" s="167">
        <f t="shared" si="147"/>
        <v>0</v>
      </c>
      <c r="U568" s="167">
        <f t="shared" si="148"/>
        <v>0</v>
      </c>
      <c r="V568" s="167">
        <f t="shared" si="149"/>
        <v>0</v>
      </c>
    </row>
    <row r="569" spans="1:22" s="90" customFormat="1" ht="20.100000000000001" customHeight="1">
      <c r="A569" s="347"/>
      <c r="B569" s="180" t="s">
        <v>132</v>
      </c>
      <c r="C569" s="230" t="s">
        <v>892</v>
      </c>
      <c r="D569" s="239" t="s">
        <v>171</v>
      </c>
      <c r="E569" s="252">
        <f>'Вед-я стр-ра'!H408+'Вед-я стр-ра'!H443</f>
        <v>290.14999999999998</v>
      </c>
      <c r="F569" s="252">
        <f>'Вед-я стр-ра'!I408+'Вед-я стр-ра'!I443</f>
        <v>290.14999999999998</v>
      </c>
      <c r="G569" s="252">
        <f>'Вед-я стр-ра'!J408+'Вед-я стр-ра'!J443</f>
        <v>290.14999999999998</v>
      </c>
      <c r="H569" s="252">
        <v>290.14999999999998</v>
      </c>
      <c r="I569" s="252">
        <v>290.14999999999998</v>
      </c>
      <c r="J569" s="252">
        <v>290.14999999999998</v>
      </c>
      <c r="K569" s="180" t="s">
        <v>132</v>
      </c>
      <c r="L569" s="230" t="s">
        <v>892</v>
      </c>
      <c r="M569" s="239" t="s">
        <v>171</v>
      </c>
      <c r="N569" s="252">
        <v>290.14999999999998</v>
      </c>
      <c r="O569" s="252">
        <v>290.14999999999998</v>
      </c>
      <c r="P569" s="252">
        <v>290.14999999999998</v>
      </c>
      <c r="Q569" s="101" t="b">
        <f t="shared" si="144"/>
        <v>1</v>
      </c>
      <c r="R569" s="101" t="b">
        <f t="shared" si="145"/>
        <v>1</v>
      </c>
      <c r="S569" s="101" t="b">
        <f t="shared" si="146"/>
        <v>1</v>
      </c>
      <c r="T569" s="167">
        <f t="shared" si="147"/>
        <v>0</v>
      </c>
      <c r="U569" s="167">
        <f t="shared" si="148"/>
        <v>0</v>
      </c>
      <c r="V569" s="167">
        <f t="shared" si="149"/>
        <v>0</v>
      </c>
    </row>
    <row r="570" spans="1:22" s="90" customFormat="1" ht="20.100000000000001" customHeight="1">
      <c r="A570" s="347"/>
      <c r="B570" s="180" t="s">
        <v>133</v>
      </c>
      <c r="C570" s="230" t="s">
        <v>892</v>
      </c>
      <c r="D570" s="239" t="s">
        <v>19</v>
      </c>
      <c r="E570" s="252">
        <f>'Вед-я стр-ра'!H444</f>
        <v>10</v>
      </c>
      <c r="F570" s="252">
        <f>'Вед-я стр-ра'!I444</f>
        <v>10</v>
      </c>
      <c r="G570" s="252">
        <f>'Вед-я стр-ра'!J444</f>
        <v>10</v>
      </c>
      <c r="H570" s="252">
        <v>10</v>
      </c>
      <c r="I570" s="252">
        <v>10</v>
      </c>
      <c r="J570" s="252">
        <v>10</v>
      </c>
      <c r="K570" s="180" t="s">
        <v>133</v>
      </c>
      <c r="L570" s="230" t="s">
        <v>892</v>
      </c>
      <c r="M570" s="239" t="s">
        <v>19</v>
      </c>
      <c r="N570" s="252">
        <v>10</v>
      </c>
      <c r="O570" s="252">
        <v>10</v>
      </c>
      <c r="P570" s="252">
        <v>10</v>
      </c>
      <c r="Q570" s="101" t="b">
        <f t="shared" si="144"/>
        <v>1</v>
      </c>
      <c r="R570" s="101" t="b">
        <f t="shared" si="145"/>
        <v>1</v>
      </c>
      <c r="S570" s="101" t="b">
        <f t="shared" si="146"/>
        <v>1</v>
      </c>
      <c r="T570" s="167">
        <f t="shared" si="147"/>
        <v>0</v>
      </c>
      <c r="U570" s="167">
        <f t="shared" si="148"/>
        <v>0</v>
      </c>
      <c r="V570" s="167">
        <f t="shared" si="149"/>
        <v>0</v>
      </c>
    </row>
    <row r="571" spans="1:22" s="90" customFormat="1" ht="20.100000000000001" customHeight="1">
      <c r="A571" s="347"/>
      <c r="B571" s="178" t="s">
        <v>532</v>
      </c>
      <c r="C571" s="256" t="s">
        <v>260</v>
      </c>
      <c r="D571" s="230" t="s">
        <v>90</v>
      </c>
      <c r="E571" s="252">
        <f t="shared" ref="E571:G572" si="160">E572</f>
        <v>262.8</v>
      </c>
      <c r="F571" s="252">
        <f t="shared" si="160"/>
        <v>262.8</v>
      </c>
      <c r="G571" s="252">
        <f t="shared" si="160"/>
        <v>262.8</v>
      </c>
      <c r="H571" s="252">
        <v>262.8</v>
      </c>
      <c r="I571" s="252">
        <v>262.8</v>
      </c>
      <c r="J571" s="252">
        <v>262.8</v>
      </c>
      <c r="K571" s="178" t="s">
        <v>532</v>
      </c>
      <c r="L571" s="256" t="s">
        <v>260</v>
      </c>
      <c r="M571" s="230" t="s">
        <v>90</v>
      </c>
      <c r="N571" s="252">
        <v>262.8</v>
      </c>
      <c r="O571" s="252">
        <v>262.8</v>
      </c>
      <c r="P571" s="252">
        <v>262.8</v>
      </c>
      <c r="Q571" s="101" t="b">
        <f t="shared" si="144"/>
        <v>1</v>
      </c>
      <c r="R571" s="101" t="b">
        <f t="shared" si="145"/>
        <v>1</v>
      </c>
      <c r="S571" s="101" t="b">
        <f t="shared" si="146"/>
        <v>1</v>
      </c>
      <c r="T571" s="167">
        <f t="shared" si="147"/>
        <v>0</v>
      </c>
      <c r="U571" s="167">
        <f t="shared" si="148"/>
        <v>0</v>
      </c>
      <c r="V571" s="167">
        <f t="shared" si="149"/>
        <v>0</v>
      </c>
    </row>
    <row r="572" spans="1:22" s="90" customFormat="1" ht="20.100000000000001" customHeight="1">
      <c r="A572" s="347"/>
      <c r="B572" s="54" t="s">
        <v>810</v>
      </c>
      <c r="C572" s="230" t="s">
        <v>896</v>
      </c>
      <c r="D572" s="230" t="s">
        <v>90</v>
      </c>
      <c r="E572" s="252">
        <f t="shared" si="160"/>
        <v>262.8</v>
      </c>
      <c r="F572" s="252">
        <f t="shared" si="160"/>
        <v>262.8</v>
      </c>
      <c r="G572" s="252">
        <f t="shared" si="160"/>
        <v>262.8</v>
      </c>
      <c r="H572" s="252">
        <v>262.8</v>
      </c>
      <c r="I572" s="252">
        <v>262.8</v>
      </c>
      <c r="J572" s="252">
        <v>262.8</v>
      </c>
      <c r="K572" s="54" t="s">
        <v>810</v>
      </c>
      <c r="L572" s="230" t="s">
        <v>896</v>
      </c>
      <c r="M572" s="230" t="s">
        <v>90</v>
      </c>
      <c r="N572" s="252">
        <v>262.8</v>
      </c>
      <c r="O572" s="252">
        <v>262.8</v>
      </c>
      <c r="P572" s="252">
        <v>262.8</v>
      </c>
      <c r="Q572" s="101" t="b">
        <f t="shared" si="144"/>
        <v>1</v>
      </c>
      <c r="R572" s="101" t="b">
        <f t="shared" si="145"/>
        <v>1</v>
      </c>
      <c r="S572" s="101" t="b">
        <f t="shared" si="146"/>
        <v>1</v>
      </c>
      <c r="T572" s="167">
        <f t="shared" si="147"/>
        <v>0</v>
      </c>
      <c r="U572" s="167">
        <f t="shared" si="148"/>
        <v>0</v>
      </c>
      <c r="V572" s="167">
        <f t="shared" si="149"/>
        <v>0</v>
      </c>
    </row>
    <row r="573" spans="1:22" s="90" customFormat="1" ht="20.100000000000001" customHeight="1">
      <c r="A573" s="347"/>
      <c r="B573" s="180" t="s">
        <v>145</v>
      </c>
      <c r="C573" s="230" t="s">
        <v>896</v>
      </c>
      <c r="D573" s="230">
        <v>240</v>
      </c>
      <c r="E573" s="252">
        <f>'Вед-я стр-ра'!H108</f>
        <v>262.8</v>
      </c>
      <c r="F573" s="252">
        <f>'Вед-я стр-ра'!I108</f>
        <v>262.8</v>
      </c>
      <c r="G573" s="252">
        <f>'Вед-я стр-ра'!J108</f>
        <v>262.8</v>
      </c>
      <c r="H573" s="252">
        <v>262.8</v>
      </c>
      <c r="I573" s="252">
        <v>262.8</v>
      </c>
      <c r="J573" s="252">
        <v>262.8</v>
      </c>
      <c r="K573" s="180" t="s">
        <v>145</v>
      </c>
      <c r="L573" s="230" t="s">
        <v>896</v>
      </c>
      <c r="M573" s="230">
        <v>240</v>
      </c>
      <c r="N573" s="252">
        <v>262.8</v>
      </c>
      <c r="O573" s="252">
        <v>262.8</v>
      </c>
      <c r="P573" s="252">
        <v>262.8</v>
      </c>
      <c r="Q573" s="101" t="b">
        <f t="shared" si="144"/>
        <v>1</v>
      </c>
      <c r="R573" s="101" t="b">
        <f t="shared" si="145"/>
        <v>1</v>
      </c>
      <c r="S573" s="101" t="b">
        <f t="shared" si="146"/>
        <v>1</v>
      </c>
      <c r="T573" s="167">
        <f t="shared" si="147"/>
        <v>0</v>
      </c>
      <c r="U573" s="167">
        <f t="shared" si="148"/>
        <v>0</v>
      </c>
      <c r="V573" s="167">
        <f t="shared" si="149"/>
        <v>0</v>
      </c>
    </row>
    <row r="574" spans="1:22" s="97" customFormat="1" ht="20.100000000000001" customHeight="1">
      <c r="A574" s="222"/>
      <c r="B574" s="180"/>
      <c r="C574" s="230"/>
      <c r="D574" s="230"/>
      <c r="E574" s="252"/>
      <c r="F574" s="252"/>
      <c r="G574" s="252"/>
      <c r="H574" s="252"/>
      <c r="I574" s="252"/>
      <c r="J574" s="252"/>
      <c r="K574" s="180"/>
      <c r="L574" s="230"/>
      <c r="M574" s="230"/>
      <c r="N574" s="252"/>
      <c r="O574" s="252"/>
      <c r="P574" s="252"/>
      <c r="Q574" s="101" t="b">
        <f t="shared" ref="Q574:Q634" si="161">B574=K574</f>
        <v>1</v>
      </c>
      <c r="R574" s="101" t="b">
        <f t="shared" ref="R574:R634" si="162">C574=L574</f>
        <v>1</v>
      </c>
      <c r="S574" s="101" t="b">
        <f t="shared" ref="S574:S634" si="163">D574=M574</f>
        <v>1</v>
      </c>
      <c r="T574" s="167">
        <f t="shared" ref="T574:T634" si="164">E574-N574</f>
        <v>0</v>
      </c>
      <c r="U574" s="167">
        <f t="shared" ref="U574:U634" si="165">F574-O574</f>
        <v>0</v>
      </c>
      <c r="V574" s="167">
        <f t="shared" ref="V574:V634" si="166">G574-P574</f>
        <v>0</v>
      </c>
    </row>
    <row r="575" spans="1:22" s="101" customFormat="1" ht="20.100000000000001" customHeight="1">
      <c r="A575" s="345"/>
      <c r="B575" s="42" t="s">
        <v>1165</v>
      </c>
      <c r="C575" s="233" t="s">
        <v>323</v>
      </c>
      <c r="D575" s="233" t="s">
        <v>90</v>
      </c>
      <c r="E575" s="234">
        <f>E576+E585+E593+E608</f>
        <v>154107.14000000001</v>
      </c>
      <c r="F575" s="234">
        <f>F576+F585+F593+F608</f>
        <v>116606.49</v>
      </c>
      <c r="G575" s="234">
        <f>G576+G585+G593+G608</f>
        <v>116675.14</v>
      </c>
      <c r="H575" s="234">
        <v>154107.14000000001</v>
      </c>
      <c r="I575" s="234">
        <v>116606.49</v>
      </c>
      <c r="J575" s="234">
        <v>116675.14</v>
      </c>
      <c r="K575" s="42" t="s">
        <v>1165</v>
      </c>
      <c r="L575" s="233" t="s">
        <v>323</v>
      </c>
      <c r="M575" s="233" t="s">
        <v>90</v>
      </c>
      <c r="N575" s="234">
        <v>154066.68</v>
      </c>
      <c r="O575" s="234">
        <v>116566.03</v>
      </c>
      <c r="P575" s="234">
        <v>116634.68</v>
      </c>
      <c r="Q575" s="101" t="b">
        <f t="shared" si="161"/>
        <v>1</v>
      </c>
      <c r="R575" s="101" t="b">
        <f t="shared" si="162"/>
        <v>1</v>
      </c>
      <c r="S575" s="101" t="b">
        <f t="shared" si="163"/>
        <v>1</v>
      </c>
      <c r="T575" s="167">
        <f t="shared" si="164"/>
        <v>40.460000000020955</v>
      </c>
      <c r="U575" s="167">
        <f t="shared" si="165"/>
        <v>40.460000000006403</v>
      </c>
      <c r="V575" s="167">
        <f t="shared" si="166"/>
        <v>40.460000000006403</v>
      </c>
    </row>
    <row r="576" spans="1:22" s="102" customFormat="1" ht="20.100000000000001" customHeight="1">
      <c r="A576" s="346"/>
      <c r="B576" s="241" t="s">
        <v>1215</v>
      </c>
      <c r="C576" s="236" t="s">
        <v>470</v>
      </c>
      <c r="D576" s="236" t="s">
        <v>90</v>
      </c>
      <c r="E576" s="237">
        <f>E577+E580</f>
        <v>52607.920000000006</v>
      </c>
      <c r="F576" s="237">
        <f t="shared" ref="F576:G576" si="167">F577+F580</f>
        <v>52673.360000000008</v>
      </c>
      <c r="G576" s="237">
        <f t="shared" si="167"/>
        <v>52741.420000000006</v>
      </c>
      <c r="H576" s="237">
        <v>52607.920000000006</v>
      </c>
      <c r="I576" s="237">
        <v>52673.360000000008</v>
      </c>
      <c r="J576" s="237">
        <v>52741.420000000006</v>
      </c>
      <c r="K576" s="241" t="s">
        <v>1215</v>
      </c>
      <c r="L576" s="236" t="s">
        <v>470</v>
      </c>
      <c r="M576" s="236" t="s">
        <v>90</v>
      </c>
      <c r="N576" s="237">
        <v>52840.409999999996</v>
      </c>
      <c r="O576" s="237">
        <v>52905.85</v>
      </c>
      <c r="P576" s="237">
        <v>52973.909999999996</v>
      </c>
      <c r="Q576" s="101" t="b">
        <f t="shared" si="161"/>
        <v>1</v>
      </c>
      <c r="R576" s="101" t="b">
        <f t="shared" si="162"/>
        <v>1</v>
      </c>
      <c r="S576" s="101" t="b">
        <f t="shared" si="163"/>
        <v>1</v>
      </c>
      <c r="T576" s="167">
        <f t="shared" si="164"/>
        <v>-232.48999999999069</v>
      </c>
      <c r="U576" s="167">
        <f t="shared" si="165"/>
        <v>-232.48999999999069</v>
      </c>
      <c r="V576" s="167">
        <f t="shared" si="166"/>
        <v>-232.48999999999069</v>
      </c>
    </row>
    <row r="577" spans="1:22" s="90" customFormat="1" ht="20.100000000000001" customHeight="1">
      <c r="A577" s="347"/>
      <c r="B577" s="180" t="s">
        <v>539</v>
      </c>
      <c r="C577" s="238" t="s">
        <v>471</v>
      </c>
      <c r="D577" s="239" t="s">
        <v>90</v>
      </c>
      <c r="E577" s="240">
        <f t="shared" ref="E577:G578" si="168">E578</f>
        <v>100</v>
      </c>
      <c r="F577" s="240">
        <f t="shared" si="168"/>
        <v>100</v>
      </c>
      <c r="G577" s="240">
        <f t="shared" si="168"/>
        <v>100</v>
      </c>
      <c r="H577" s="240">
        <v>100</v>
      </c>
      <c r="I577" s="240">
        <v>100</v>
      </c>
      <c r="J577" s="240">
        <v>100</v>
      </c>
      <c r="K577" s="180" t="s">
        <v>539</v>
      </c>
      <c r="L577" s="238" t="s">
        <v>471</v>
      </c>
      <c r="M577" s="239" t="s">
        <v>90</v>
      </c>
      <c r="N577" s="240">
        <v>100</v>
      </c>
      <c r="O577" s="240">
        <v>100</v>
      </c>
      <c r="P577" s="240">
        <v>100</v>
      </c>
      <c r="Q577" s="101" t="b">
        <f t="shared" si="161"/>
        <v>1</v>
      </c>
      <c r="R577" s="101" t="b">
        <f t="shared" si="162"/>
        <v>1</v>
      </c>
      <c r="S577" s="101" t="b">
        <f t="shared" si="163"/>
        <v>1</v>
      </c>
      <c r="T577" s="167">
        <f t="shared" si="164"/>
        <v>0</v>
      </c>
      <c r="U577" s="167">
        <f t="shared" si="165"/>
        <v>0</v>
      </c>
      <c r="V577" s="167">
        <f t="shared" si="166"/>
        <v>0</v>
      </c>
    </row>
    <row r="578" spans="1:22" s="90" customFormat="1" ht="20.100000000000001" customHeight="1">
      <c r="A578" s="347"/>
      <c r="B578" s="515" t="s">
        <v>1234</v>
      </c>
      <c r="C578" s="238" t="s">
        <v>472</v>
      </c>
      <c r="D578" s="239" t="s">
        <v>90</v>
      </c>
      <c r="E578" s="240">
        <f t="shared" si="168"/>
        <v>100</v>
      </c>
      <c r="F578" s="240">
        <f t="shared" si="168"/>
        <v>100</v>
      </c>
      <c r="G578" s="240">
        <f t="shared" si="168"/>
        <v>100</v>
      </c>
      <c r="H578" s="240">
        <v>100</v>
      </c>
      <c r="I578" s="240">
        <v>100</v>
      </c>
      <c r="J578" s="240">
        <v>100</v>
      </c>
      <c r="K578" s="180" t="s">
        <v>538</v>
      </c>
      <c r="L578" s="238" t="s">
        <v>472</v>
      </c>
      <c r="M578" s="239" t="s">
        <v>90</v>
      </c>
      <c r="N578" s="240">
        <v>100</v>
      </c>
      <c r="O578" s="240">
        <v>100</v>
      </c>
      <c r="P578" s="240">
        <v>100</v>
      </c>
      <c r="Q578" s="101" t="b">
        <f t="shared" si="161"/>
        <v>0</v>
      </c>
      <c r="R578" s="101" t="b">
        <f t="shared" si="162"/>
        <v>1</v>
      </c>
      <c r="S578" s="101" t="b">
        <f t="shared" si="163"/>
        <v>1</v>
      </c>
      <c r="T578" s="167">
        <f t="shared" si="164"/>
        <v>0</v>
      </c>
      <c r="U578" s="167">
        <f t="shared" si="165"/>
        <v>0</v>
      </c>
      <c r="V578" s="167">
        <f t="shared" si="166"/>
        <v>0</v>
      </c>
    </row>
    <row r="579" spans="1:22" s="90" customFormat="1" ht="20.100000000000001" customHeight="1">
      <c r="A579" s="347"/>
      <c r="B579" s="180" t="s">
        <v>145</v>
      </c>
      <c r="C579" s="238" t="s">
        <v>472</v>
      </c>
      <c r="D579" s="239" t="s">
        <v>153</v>
      </c>
      <c r="E579" s="240">
        <f>'Вед-я стр-ра'!H1329</f>
        <v>100</v>
      </c>
      <c r="F579" s="240">
        <f>'Вед-я стр-ра'!I1329</f>
        <v>100</v>
      </c>
      <c r="G579" s="240">
        <f>'Вед-я стр-ра'!J1329</f>
        <v>100</v>
      </c>
      <c r="H579" s="240">
        <v>100</v>
      </c>
      <c r="I579" s="240">
        <v>100</v>
      </c>
      <c r="J579" s="240">
        <v>100</v>
      </c>
      <c r="K579" s="180" t="s">
        <v>145</v>
      </c>
      <c r="L579" s="238" t="s">
        <v>472</v>
      </c>
      <c r="M579" s="239" t="s">
        <v>153</v>
      </c>
      <c r="N579" s="240">
        <v>100</v>
      </c>
      <c r="O579" s="240">
        <v>100</v>
      </c>
      <c r="P579" s="240">
        <v>100</v>
      </c>
      <c r="Q579" s="101" t="b">
        <f t="shared" si="161"/>
        <v>1</v>
      </c>
      <c r="R579" s="101" t="b">
        <f t="shared" si="162"/>
        <v>1</v>
      </c>
      <c r="S579" s="101" t="b">
        <f t="shared" si="163"/>
        <v>1</v>
      </c>
      <c r="T579" s="167">
        <f t="shared" si="164"/>
        <v>0</v>
      </c>
      <c r="U579" s="167">
        <f t="shared" si="165"/>
        <v>0</v>
      </c>
      <c r="V579" s="167">
        <f t="shared" si="166"/>
        <v>0</v>
      </c>
    </row>
    <row r="580" spans="1:22" s="90" customFormat="1" ht="20.100000000000001" customHeight="1">
      <c r="A580" s="347"/>
      <c r="B580" s="515" t="s">
        <v>1235</v>
      </c>
      <c r="C580" s="238" t="s">
        <v>473</v>
      </c>
      <c r="D580" s="239" t="s">
        <v>90</v>
      </c>
      <c r="E580" s="240">
        <f>E581</f>
        <v>52507.920000000006</v>
      </c>
      <c r="F580" s="240">
        <f t="shared" ref="F580:G580" si="169">F581</f>
        <v>52573.360000000008</v>
      </c>
      <c r="G580" s="240">
        <f t="shared" si="169"/>
        <v>52641.420000000006</v>
      </c>
      <c r="H580" s="240">
        <v>52507.920000000006</v>
      </c>
      <c r="I580" s="240">
        <v>52573.360000000008</v>
      </c>
      <c r="J580" s="240">
        <v>52641.420000000006</v>
      </c>
      <c r="K580" s="180" t="s">
        <v>741</v>
      </c>
      <c r="L580" s="238" t="s">
        <v>473</v>
      </c>
      <c r="M580" s="239" t="s">
        <v>90</v>
      </c>
      <c r="N580" s="240">
        <v>52467.46</v>
      </c>
      <c r="O580" s="240">
        <v>52532.9</v>
      </c>
      <c r="P580" s="240">
        <v>52600.959999999999</v>
      </c>
      <c r="Q580" s="101" t="b">
        <f t="shared" si="161"/>
        <v>0</v>
      </c>
      <c r="R580" s="101" t="b">
        <f t="shared" si="162"/>
        <v>1</v>
      </c>
      <c r="S580" s="101" t="b">
        <f t="shared" si="163"/>
        <v>1</v>
      </c>
      <c r="T580" s="167">
        <f t="shared" si="164"/>
        <v>40.460000000006403</v>
      </c>
      <c r="U580" s="167">
        <f t="shared" si="165"/>
        <v>40.460000000006403</v>
      </c>
      <c r="V580" s="167">
        <f t="shared" si="166"/>
        <v>40.460000000006403</v>
      </c>
    </row>
    <row r="581" spans="1:22" s="90" customFormat="1" ht="20.100000000000001" customHeight="1">
      <c r="A581" s="347"/>
      <c r="B581" s="178" t="s">
        <v>254</v>
      </c>
      <c r="C581" s="238" t="s">
        <v>713</v>
      </c>
      <c r="D581" s="239" t="s">
        <v>90</v>
      </c>
      <c r="E581" s="240">
        <f>SUM(E582:E584)</f>
        <v>52507.920000000006</v>
      </c>
      <c r="F581" s="240">
        <f>SUM(F582:F584)</f>
        <v>52573.360000000008</v>
      </c>
      <c r="G581" s="240">
        <f>SUM(G582:G584)</f>
        <v>52641.420000000006</v>
      </c>
      <c r="H581" s="240">
        <v>52507.920000000006</v>
      </c>
      <c r="I581" s="240">
        <v>52573.360000000008</v>
      </c>
      <c r="J581" s="240">
        <v>52641.420000000006</v>
      </c>
      <c r="K581" s="178" t="s">
        <v>254</v>
      </c>
      <c r="L581" s="238" t="s">
        <v>713</v>
      </c>
      <c r="M581" s="239" t="s">
        <v>90</v>
      </c>
      <c r="N581" s="240">
        <v>52467.46</v>
      </c>
      <c r="O581" s="240">
        <v>52532.9</v>
      </c>
      <c r="P581" s="240">
        <v>52600.959999999999</v>
      </c>
      <c r="Q581" s="101" t="b">
        <f t="shared" si="161"/>
        <v>1</v>
      </c>
      <c r="R581" s="101" t="b">
        <f t="shared" si="162"/>
        <v>1</v>
      </c>
      <c r="S581" s="101" t="b">
        <f t="shared" si="163"/>
        <v>1</v>
      </c>
      <c r="T581" s="167">
        <f t="shared" si="164"/>
        <v>40.460000000006403</v>
      </c>
      <c r="U581" s="167">
        <f t="shared" si="165"/>
        <v>40.460000000006403</v>
      </c>
      <c r="V581" s="167">
        <f t="shared" si="166"/>
        <v>40.460000000006403</v>
      </c>
    </row>
    <row r="582" spans="1:22" s="90" customFormat="1" ht="20.100000000000001" customHeight="1">
      <c r="A582" s="347"/>
      <c r="B582" s="178" t="s">
        <v>143</v>
      </c>
      <c r="C582" s="238" t="s">
        <v>713</v>
      </c>
      <c r="D582" s="239" t="s">
        <v>157</v>
      </c>
      <c r="E582" s="240">
        <f>'Вед-я стр-ра'!H1332</f>
        <v>47123.94</v>
      </c>
      <c r="F582" s="240">
        <f>'Вед-я стр-ра'!I1332</f>
        <v>47123.94</v>
      </c>
      <c r="G582" s="240">
        <f>'Вед-я стр-ра'!J1332</f>
        <v>47123.94</v>
      </c>
      <c r="H582" s="240">
        <v>47123.94</v>
      </c>
      <c r="I582" s="240">
        <v>47123.94</v>
      </c>
      <c r="J582" s="240">
        <v>47123.94</v>
      </c>
      <c r="K582" s="178" t="s">
        <v>143</v>
      </c>
      <c r="L582" s="238" t="s">
        <v>713</v>
      </c>
      <c r="M582" s="239" t="s">
        <v>157</v>
      </c>
      <c r="N582" s="240">
        <v>47083.479999999996</v>
      </c>
      <c r="O582" s="240">
        <v>47083.479999999996</v>
      </c>
      <c r="P582" s="240">
        <v>47083.479999999996</v>
      </c>
      <c r="Q582" s="101" t="b">
        <f t="shared" si="161"/>
        <v>1</v>
      </c>
      <c r="R582" s="101" t="b">
        <f t="shared" si="162"/>
        <v>1</v>
      </c>
      <c r="S582" s="101" t="b">
        <f t="shared" si="163"/>
        <v>1</v>
      </c>
      <c r="T582" s="167">
        <f t="shared" si="164"/>
        <v>40.460000000006403</v>
      </c>
      <c r="U582" s="167">
        <f t="shared" si="165"/>
        <v>40.460000000006403</v>
      </c>
      <c r="V582" s="167">
        <f t="shared" si="166"/>
        <v>40.460000000006403</v>
      </c>
    </row>
    <row r="583" spans="1:22" s="90" customFormat="1" ht="20.100000000000001" customHeight="1">
      <c r="A583" s="347"/>
      <c r="B583" s="178" t="s">
        <v>145</v>
      </c>
      <c r="C583" s="238" t="s">
        <v>713</v>
      </c>
      <c r="D583" s="239" t="s">
        <v>153</v>
      </c>
      <c r="E583" s="240">
        <f>'Вед-я стр-ра'!H1333</f>
        <v>4659.68</v>
      </c>
      <c r="F583" s="240">
        <f>'Вед-я стр-ра'!I1333</f>
        <v>4725.1200000000008</v>
      </c>
      <c r="G583" s="240">
        <f>'Вед-я стр-ра'!J1333</f>
        <v>4793.1800000000012</v>
      </c>
      <c r="H583" s="240">
        <v>4659.68</v>
      </c>
      <c r="I583" s="240">
        <v>4725.1200000000008</v>
      </c>
      <c r="J583" s="240">
        <v>4793.1800000000012</v>
      </c>
      <c r="K583" s="178" t="s">
        <v>145</v>
      </c>
      <c r="L583" s="238" t="s">
        <v>713</v>
      </c>
      <c r="M583" s="239" t="s">
        <v>153</v>
      </c>
      <c r="N583" s="240">
        <v>4659.68</v>
      </c>
      <c r="O583" s="240">
        <v>4725.1200000000008</v>
      </c>
      <c r="P583" s="240">
        <v>4793.1800000000012</v>
      </c>
      <c r="Q583" s="101" t="b">
        <f t="shared" si="161"/>
        <v>1</v>
      </c>
      <c r="R583" s="101" t="b">
        <f t="shared" si="162"/>
        <v>1</v>
      </c>
      <c r="S583" s="101" t="b">
        <f t="shared" si="163"/>
        <v>1</v>
      </c>
      <c r="T583" s="167">
        <f t="shared" si="164"/>
        <v>0</v>
      </c>
      <c r="U583" s="167">
        <f t="shared" si="165"/>
        <v>0</v>
      </c>
      <c r="V583" s="167">
        <f t="shared" si="166"/>
        <v>0</v>
      </c>
    </row>
    <row r="584" spans="1:22" s="90" customFormat="1" ht="20.100000000000001" customHeight="1">
      <c r="A584" s="347"/>
      <c r="B584" s="180" t="s">
        <v>137</v>
      </c>
      <c r="C584" s="238" t="s">
        <v>713</v>
      </c>
      <c r="D584" s="239" t="s">
        <v>155</v>
      </c>
      <c r="E584" s="240">
        <f>'Вед-я стр-ра'!H1334</f>
        <v>724.3</v>
      </c>
      <c r="F584" s="240">
        <f>'Вед-я стр-ра'!I1334</f>
        <v>724.3</v>
      </c>
      <c r="G584" s="240">
        <f>'Вед-я стр-ра'!J1334</f>
        <v>724.3</v>
      </c>
      <c r="H584" s="240">
        <v>724.3</v>
      </c>
      <c r="I584" s="240">
        <v>724.3</v>
      </c>
      <c r="J584" s="240">
        <v>724.3</v>
      </c>
      <c r="K584" s="180" t="s">
        <v>137</v>
      </c>
      <c r="L584" s="238" t="s">
        <v>713</v>
      </c>
      <c r="M584" s="239" t="s">
        <v>155</v>
      </c>
      <c r="N584" s="240">
        <v>724.3</v>
      </c>
      <c r="O584" s="240">
        <v>724.3</v>
      </c>
      <c r="P584" s="240">
        <v>724.3</v>
      </c>
      <c r="Q584" s="101" t="b">
        <f t="shared" si="161"/>
        <v>1</v>
      </c>
      <c r="R584" s="101" t="b">
        <f t="shared" si="162"/>
        <v>1</v>
      </c>
      <c r="S584" s="101" t="b">
        <f t="shared" si="163"/>
        <v>1</v>
      </c>
      <c r="T584" s="167">
        <f t="shared" si="164"/>
        <v>0</v>
      </c>
      <c r="U584" s="167">
        <f t="shared" si="165"/>
        <v>0</v>
      </c>
      <c r="V584" s="167">
        <f t="shared" si="166"/>
        <v>0</v>
      </c>
    </row>
    <row r="585" spans="1:22" s="102" customFormat="1" ht="20.100000000000001" customHeight="1">
      <c r="A585" s="346"/>
      <c r="B585" s="241" t="s">
        <v>1214</v>
      </c>
      <c r="C585" s="236" t="s">
        <v>324</v>
      </c>
      <c r="D585" s="236" t="s">
        <v>90</v>
      </c>
      <c r="E585" s="237">
        <f>E586+E589</f>
        <v>48782.419999999991</v>
      </c>
      <c r="F585" s="237">
        <f>F586+F589</f>
        <v>11215.760000000002</v>
      </c>
      <c r="G585" s="237">
        <f>G586+G589</f>
        <v>11215.760000000002</v>
      </c>
      <c r="H585" s="237">
        <v>48782.419999999991</v>
      </c>
      <c r="I585" s="237">
        <v>11215.760000000002</v>
      </c>
      <c r="J585" s="237">
        <v>11215.760000000002</v>
      </c>
      <c r="K585" s="241" t="s">
        <v>1214</v>
      </c>
      <c r="L585" s="236" t="s">
        <v>324</v>
      </c>
      <c r="M585" s="236" t="s">
        <v>90</v>
      </c>
      <c r="N585" s="237">
        <v>48782.419999999991</v>
      </c>
      <c r="O585" s="237">
        <v>11215.76</v>
      </c>
      <c r="P585" s="237">
        <v>11215.76</v>
      </c>
      <c r="Q585" s="101" t="b">
        <f t="shared" si="161"/>
        <v>1</v>
      </c>
      <c r="R585" s="101" t="b">
        <f t="shared" si="162"/>
        <v>1</v>
      </c>
      <c r="S585" s="101" t="b">
        <f t="shared" si="163"/>
        <v>1</v>
      </c>
      <c r="T585" s="167">
        <f t="shared" si="164"/>
        <v>0</v>
      </c>
      <c r="U585" s="167">
        <f t="shared" si="165"/>
        <v>0</v>
      </c>
      <c r="V585" s="167">
        <f t="shared" si="166"/>
        <v>0</v>
      </c>
    </row>
    <row r="586" spans="1:22" s="90" customFormat="1" ht="20.100000000000001" customHeight="1">
      <c r="A586" s="347"/>
      <c r="B586" s="516" t="s">
        <v>1236</v>
      </c>
      <c r="C586" s="238" t="s">
        <v>325</v>
      </c>
      <c r="D586" s="239" t="s">
        <v>90</v>
      </c>
      <c r="E586" s="240">
        <f t="shared" ref="E586:G587" si="170">E587</f>
        <v>535</v>
      </c>
      <c r="F586" s="240">
        <f t="shared" si="170"/>
        <v>535</v>
      </c>
      <c r="G586" s="240">
        <f t="shared" si="170"/>
        <v>535</v>
      </c>
      <c r="H586" s="240">
        <v>535</v>
      </c>
      <c r="I586" s="240">
        <v>535</v>
      </c>
      <c r="J586" s="240">
        <v>535</v>
      </c>
      <c r="K586" s="180" t="s">
        <v>742</v>
      </c>
      <c r="L586" s="238" t="s">
        <v>325</v>
      </c>
      <c r="M586" s="239" t="s">
        <v>90</v>
      </c>
      <c r="N586" s="240">
        <v>535</v>
      </c>
      <c r="O586" s="240">
        <v>535</v>
      </c>
      <c r="P586" s="240">
        <v>535</v>
      </c>
      <c r="Q586" s="101" t="b">
        <f t="shared" si="161"/>
        <v>0</v>
      </c>
      <c r="R586" s="101" t="b">
        <f t="shared" si="162"/>
        <v>1</v>
      </c>
      <c r="S586" s="101" t="b">
        <f t="shared" si="163"/>
        <v>1</v>
      </c>
      <c r="T586" s="167">
        <f t="shared" si="164"/>
        <v>0</v>
      </c>
      <c r="U586" s="167">
        <f t="shared" si="165"/>
        <v>0</v>
      </c>
      <c r="V586" s="167">
        <f t="shared" si="166"/>
        <v>0</v>
      </c>
    </row>
    <row r="587" spans="1:22" s="90" customFormat="1" ht="20.100000000000001" customHeight="1">
      <c r="A587" s="347"/>
      <c r="B587" s="180" t="s">
        <v>170</v>
      </c>
      <c r="C587" s="238" t="s">
        <v>474</v>
      </c>
      <c r="D587" s="239" t="s">
        <v>90</v>
      </c>
      <c r="E587" s="240">
        <f t="shared" si="170"/>
        <v>535</v>
      </c>
      <c r="F587" s="240">
        <f t="shared" si="170"/>
        <v>535</v>
      </c>
      <c r="G587" s="240">
        <f t="shared" si="170"/>
        <v>535</v>
      </c>
      <c r="H587" s="240">
        <v>535</v>
      </c>
      <c r="I587" s="240">
        <v>535</v>
      </c>
      <c r="J587" s="240">
        <v>535</v>
      </c>
      <c r="K587" s="180" t="s">
        <v>170</v>
      </c>
      <c r="L587" s="238" t="s">
        <v>474</v>
      </c>
      <c r="M587" s="239" t="s">
        <v>90</v>
      </c>
      <c r="N587" s="240">
        <v>535</v>
      </c>
      <c r="O587" s="240">
        <v>535</v>
      </c>
      <c r="P587" s="240">
        <v>535</v>
      </c>
      <c r="Q587" s="101" t="b">
        <f t="shared" si="161"/>
        <v>1</v>
      </c>
      <c r="R587" s="101" t="b">
        <f t="shared" si="162"/>
        <v>1</v>
      </c>
      <c r="S587" s="101" t="b">
        <f t="shared" si="163"/>
        <v>1</v>
      </c>
      <c r="T587" s="167">
        <f t="shared" si="164"/>
        <v>0</v>
      </c>
      <c r="U587" s="167">
        <f t="shared" si="165"/>
        <v>0</v>
      </c>
      <c r="V587" s="167">
        <f t="shared" si="166"/>
        <v>0</v>
      </c>
    </row>
    <row r="588" spans="1:22" s="90" customFormat="1" ht="20.100000000000001" customHeight="1">
      <c r="A588" s="347"/>
      <c r="B588" s="180" t="s">
        <v>145</v>
      </c>
      <c r="C588" s="238" t="s">
        <v>474</v>
      </c>
      <c r="D588" s="239" t="s">
        <v>153</v>
      </c>
      <c r="E588" s="240">
        <f>'Вед-я стр-ра'!H1338</f>
        <v>535</v>
      </c>
      <c r="F588" s="240">
        <f>'Вед-я стр-ра'!I1338</f>
        <v>535</v>
      </c>
      <c r="G588" s="240">
        <f>'Вед-я стр-ра'!J1338</f>
        <v>535</v>
      </c>
      <c r="H588" s="240">
        <v>535</v>
      </c>
      <c r="I588" s="240">
        <v>535</v>
      </c>
      <c r="J588" s="240">
        <v>535</v>
      </c>
      <c r="K588" s="180" t="s">
        <v>145</v>
      </c>
      <c r="L588" s="238" t="s">
        <v>474</v>
      </c>
      <c r="M588" s="239" t="s">
        <v>153</v>
      </c>
      <c r="N588" s="240">
        <v>535</v>
      </c>
      <c r="O588" s="240">
        <v>535</v>
      </c>
      <c r="P588" s="240">
        <v>535</v>
      </c>
      <c r="Q588" s="101" t="b">
        <f t="shared" si="161"/>
        <v>1</v>
      </c>
      <c r="R588" s="101" t="b">
        <f t="shared" si="162"/>
        <v>1</v>
      </c>
      <c r="S588" s="101" t="b">
        <f t="shared" si="163"/>
        <v>1</v>
      </c>
      <c r="T588" s="167">
        <f t="shared" si="164"/>
        <v>0</v>
      </c>
      <c r="U588" s="167">
        <f t="shared" si="165"/>
        <v>0</v>
      </c>
      <c r="V588" s="167">
        <f t="shared" si="166"/>
        <v>0</v>
      </c>
    </row>
    <row r="589" spans="1:22" s="97" customFormat="1" ht="20.100000000000001" customHeight="1">
      <c r="A589" s="222"/>
      <c r="B589" s="180" t="s">
        <v>573</v>
      </c>
      <c r="C589" s="238" t="s">
        <v>526</v>
      </c>
      <c r="D589" s="239" t="s">
        <v>90</v>
      </c>
      <c r="E589" s="240">
        <f>E590</f>
        <v>48247.419999999991</v>
      </c>
      <c r="F589" s="240">
        <f>F590</f>
        <v>10680.760000000002</v>
      </c>
      <c r="G589" s="240">
        <f>G590</f>
        <v>10680.760000000002</v>
      </c>
      <c r="H589" s="240">
        <v>48247.419999999991</v>
      </c>
      <c r="I589" s="240">
        <v>10680.760000000002</v>
      </c>
      <c r="J589" s="240">
        <v>10680.760000000002</v>
      </c>
      <c r="K589" s="180" t="s">
        <v>573</v>
      </c>
      <c r="L589" s="238" t="s">
        <v>526</v>
      </c>
      <c r="M589" s="239" t="s">
        <v>90</v>
      </c>
      <c r="N589" s="240">
        <v>48247.419999999991</v>
      </c>
      <c r="O589" s="240">
        <v>10680.76</v>
      </c>
      <c r="P589" s="240">
        <v>10680.76</v>
      </c>
      <c r="Q589" s="101" t="b">
        <f t="shared" si="161"/>
        <v>1</v>
      </c>
      <c r="R589" s="101" t="b">
        <f t="shared" si="162"/>
        <v>1</v>
      </c>
      <c r="S589" s="101" t="b">
        <f t="shared" si="163"/>
        <v>1</v>
      </c>
      <c r="T589" s="167">
        <f t="shared" si="164"/>
        <v>0</v>
      </c>
      <c r="U589" s="167">
        <f t="shared" si="165"/>
        <v>0</v>
      </c>
      <c r="V589" s="167">
        <f t="shared" si="166"/>
        <v>0</v>
      </c>
    </row>
    <row r="590" spans="1:22" s="97" customFormat="1" ht="20.100000000000001" customHeight="1">
      <c r="A590" s="222"/>
      <c r="B590" s="180" t="s">
        <v>202</v>
      </c>
      <c r="C590" s="238" t="s">
        <v>527</v>
      </c>
      <c r="D590" s="239" t="s">
        <v>90</v>
      </c>
      <c r="E590" s="240">
        <f>E591+E592</f>
        <v>48247.419999999991</v>
      </c>
      <c r="F590" s="240">
        <f>F591+F592</f>
        <v>10680.760000000002</v>
      </c>
      <c r="G590" s="240">
        <f>G591+G592</f>
        <v>10680.760000000002</v>
      </c>
      <c r="H590" s="240">
        <v>48247.419999999991</v>
      </c>
      <c r="I590" s="240">
        <v>10680.760000000002</v>
      </c>
      <c r="J590" s="240">
        <v>10680.760000000002</v>
      </c>
      <c r="K590" s="180" t="s">
        <v>202</v>
      </c>
      <c r="L590" s="238" t="s">
        <v>527</v>
      </c>
      <c r="M590" s="239" t="s">
        <v>90</v>
      </c>
      <c r="N590" s="240">
        <v>48247.419999999991</v>
      </c>
      <c r="O590" s="240">
        <v>10680.76</v>
      </c>
      <c r="P590" s="240">
        <v>10680.76</v>
      </c>
      <c r="Q590" s="101" t="b">
        <f t="shared" si="161"/>
        <v>1</v>
      </c>
      <c r="R590" s="101" t="b">
        <f t="shared" si="162"/>
        <v>1</v>
      </c>
      <c r="S590" s="101" t="b">
        <f t="shared" si="163"/>
        <v>1</v>
      </c>
      <c r="T590" s="167">
        <f t="shared" si="164"/>
        <v>0</v>
      </c>
      <c r="U590" s="167">
        <f t="shared" si="165"/>
        <v>0</v>
      </c>
      <c r="V590" s="167">
        <f t="shared" si="166"/>
        <v>0</v>
      </c>
    </row>
    <row r="591" spans="1:22" s="97" customFormat="1" ht="20.100000000000001" customHeight="1">
      <c r="A591" s="222"/>
      <c r="B591" s="180" t="s">
        <v>132</v>
      </c>
      <c r="C591" s="238" t="s">
        <v>527</v>
      </c>
      <c r="D591" s="239" t="s">
        <v>171</v>
      </c>
      <c r="E591" s="252">
        <f>'Вед-я стр-ра'!H347+'Вед-я стр-ра'!H413+'Вед-я стр-ра'!H449+'Вед-я стр-ра'!H540+'Вед-я стр-ра'!H633+'Вед-я стр-ра'!H835+'Вед-я стр-ра'!H872+'Вед-я стр-ра'!H574</f>
        <v>42989.87999999999</v>
      </c>
      <c r="F591" s="252">
        <f>'Вед-я стр-ра'!I347+'Вед-я стр-ра'!I413+'Вед-я стр-ра'!I449+'Вед-я стр-ра'!I540+'Вед-я стр-ра'!I633+'Вед-я стр-ра'!I835+'Вед-я стр-ра'!I872+'Вед-я стр-ра'!I574</f>
        <v>9871.9100000000017</v>
      </c>
      <c r="G591" s="252">
        <f>'Вед-я стр-ра'!J347+'Вед-я стр-ра'!J413+'Вед-я стр-ра'!J449+'Вед-я стр-ра'!J540+'Вед-я стр-ра'!J633+'Вед-я стр-ра'!J835+'Вед-я стр-ра'!J872+'Вед-я стр-ра'!J574</f>
        <v>9871.9100000000017</v>
      </c>
      <c r="H591" s="252">
        <v>42989.87999999999</v>
      </c>
      <c r="I591" s="252">
        <v>9871.9100000000017</v>
      </c>
      <c r="J591" s="252">
        <v>9871.9100000000017</v>
      </c>
      <c r="K591" s="180" t="s">
        <v>132</v>
      </c>
      <c r="L591" s="238" t="s">
        <v>527</v>
      </c>
      <c r="M591" s="239" t="s">
        <v>171</v>
      </c>
      <c r="N591" s="252">
        <v>43124.929999999993</v>
      </c>
      <c r="O591" s="252">
        <v>10006.960000000001</v>
      </c>
      <c r="P591" s="252">
        <v>10006.960000000001</v>
      </c>
      <c r="Q591" s="101" t="b">
        <f t="shared" si="161"/>
        <v>1</v>
      </c>
      <c r="R591" s="101" t="b">
        <f t="shared" si="162"/>
        <v>1</v>
      </c>
      <c r="S591" s="101" t="b">
        <f t="shared" si="163"/>
        <v>1</v>
      </c>
      <c r="T591" s="167">
        <f t="shared" si="164"/>
        <v>-135.05000000000291</v>
      </c>
      <c r="U591" s="167">
        <f t="shared" si="165"/>
        <v>-135.04999999999927</v>
      </c>
      <c r="V591" s="167">
        <f t="shared" si="166"/>
        <v>-135.04999999999927</v>
      </c>
    </row>
    <row r="592" spans="1:22" s="97" customFormat="1" ht="20.100000000000001" customHeight="1">
      <c r="A592" s="222"/>
      <c r="B592" s="180" t="s">
        <v>133</v>
      </c>
      <c r="C592" s="238" t="s">
        <v>527</v>
      </c>
      <c r="D592" s="239" t="s">
        <v>19</v>
      </c>
      <c r="E592" s="252">
        <f>'Вед-я стр-ра'!H348+'Вед-я стр-ра'!H414+'Вед-я стр-ра'!H450+'Вед-я стр-ра'!H541+'Вед-я стр-ра'!H634</f>
        <v>5257.54</v>
      </c>
      <c r="F592" s="252">
        <f>'Вед-я стр-ра'!I348+'Вед-я стр-ра'!I414+'Вед-я стр-ра'!I450+'Вед-я стр-ра'!I541+'Вед-я стр-ра'!I634</f>
        <v>808.84999999999991</v>
      </c>
      <c r="G592" s="252">
        <f>'Вед-я стр-ра'!J348+'Вед-я стр-ра'!J414+'Вед-я стр-ра'!J450+'Вед-я стр-ра'!J541+'Вед-я стр-ра'!J634</f>
        <v>808.84999999999991</v>
      </c>
      <c r="H592" s="252">
        <v>5257.54</v>
      </c>
      <c r="I592" s="252">
        <v>808.84999999999991</v>
      </c>
      <c r="J592" s="252">
        <v>808.84999999999991</v>
      </c>
      <c r="K592" s="180" t="s">
        <v>133</v>
      </c>
      <c r="L592" s="238" t="s">
        <v>527</v>
      </c>
      <c r="M592" s="239" t="s">
        <v>19</v>
      </c>
      <c r="N592" s="252">
        <v>5122.49</v>
      </c>
      <c r="O592" s="252">
        <v>673.8</v>
      </c>
      <c r="P592" s="252">
        <v>673.8</v>
      </c>
      <c r="Q592" s="101" t="b">
        <f t="shared" si="161"/>
        <v>1</v>
      </c>
      <c r="R592" s="101" t="b">
        <f t="shared" si="162"/>
        <v>1</v>
      </c>
      <c r="S592" s="101" t="b">
        <f t="shared" si="163"/>
        <v>1</v>
      </c>
      <c r="T592" s="167">
        <f t="shared" si="164"/>
        <v>135.05000000000018</v>
      </c>
      <c r="U592" s="167">
        <f t="shared" si="165"/>
        <v>135.04999999999995</v>
      </c>
      <c r="V592" s="167">
        <f t="shared" si="166"/>
        <v>135.04999999999995</v>
      </c>
    </row>
    <row r="593" spans="1:22" s="102" customFormat="1" ht="20.100000000000001" customHeight="1">
      <c r="A593" s="346"/>
      <c r="B593" s="241" t="s">
        <v>716</v>
      </c>
      <c r="C593" s="236" t="s">
        <v>715</v>
      </c>
      <c r="D593" s="236" t="s">
        <v>90</v>
      </c>
      <c r="E593" s="237">
        <f>E594+E599+E602+E605</f>
        <v>52443.85</v>
      </c>
      <c r="F593" s="237">
        <f>F594+F599+F602+F605</f>
        <v>52444.42</v>
      </c>
      <c r="G593" s="237">
        <f>G594+G599+G602+G605</f>
        <v>52445.009999999995</v>
      </c>
      <c r="H593" s="237">
        <v>52443.85</v>
      </c>
      <c r="I593" s="237">
        <v>52444.42</v>
      </c>
      <c r="J593" s="237">
        <v>52445.009999999995</v>
      </c>
      <c r="K593" s="241" t="s">
        <v>716</v>
      </c>
      <c r="L593" s="236" t="s">
        <v>715</v>
      </c>
      <c r="M593" s="236" t="s">
        <v>90</v>
      </c>
      <c r="N593" s="237">
        <v>52443.85</v>
      </c>
      <c r="O593" s="237">
        <v>52444.42</v>
      </c>
      <c r="P593" s="237">
        <v>52445.009999999995</v>
      </c>
      <c r="Q593" s="101" t="b">
        <f t="shared" si="161"/>
        <v>1</v>
      </c>
      <c r="R593" s="101" t="b">
        <f t="shared" si="162"/>
        <v>1</v>
      </c>
      <c r="S593" s="101" t="b">
        <f t="shared" si="163"/>
        <v>1</v>
      </c>
      <c r="T593" s="167">
        <f t="shared" si="164"/>
        <v>0</v>
      </c>
      <c r="U593" s="167">
        <f t="shared" si="165"/>
        <v>0</v>
      </c>
      <c r="V593" s="167">
        <f t="shared" si="166"/>
        <v>0</v>
      </c>
    </row>
    <row r="594" spans="1:22" s="97" customFormat="1" ht="20.100000000000001" customHeight="1">
      <c r="A594" s="222"/>
      <c r="B594" s="515" t="s">
        <v>1237</v>
      </c>
      <c r="C594" s="238" t="s">
        <v>717</v>
      </c>
      <c r="D594" s="239" t="s">
        <v>90</v>
      </c>
      <c r="E594" s="252">
        <f>E595</f>
        <v>44985.17</v>
      </c>
      <c r="F594" s="252">
        <f t="shared" ref="F594:G594" si="171">F595</f>
        <v>44985.17</v>
      </c>
      <c r="G594" s="252">
        <f t="shared" si="171"/>
        <v>44985.17</v>
      </c>
      <c r="H594" s="252">
        <v>44985.17</v>
      </c>
      <c r="I594" s="252">
        <v>44985.17</v>
      </c>
      <c r="J594" s="252">
        <v>44985.17</v>
      </c>
      <c r="K594" s="180" t="s">
        <v>743</v>
      </c>
      <c r="L594" s="238" t="s">
        <v>717</v>
      </c>
      <c r="M594" s="239" t="s">
        <v>90</v>
      </c>
      <c r="N594" s="252">
        <v>44985.17</v>
      </c>
      <c r="O594" s="252">
        <v>44985.17</v>
      </c>
      <c r="P594" s="252">
        <v>44985.17</v>
      </c>
      <c r="Q594" s="101" t="b">
        <f t="shared" si="161"/>
        <v>0</v>
      </c>
      <c r="R594" s="101" t="b">
        <f t="shared" si="162"/>
        <v>1</v>
      </c>
      <c r="S594" s="101" t="b">
        <f t="shared" si="163"/>
        <v>1</v>
      </c>
      <c r="T594" s="167">
        <f t="shared" si="164"/>
        <v>0</v>
      </c>
      <c r="U594" s="167">
        <f t="shared" si="165"/>
        <v>0</v>
      </c>
      <c r="V594" s="167">
        <f t="shared" si="166"/>
        <v>0</v>
      </c>
    </row>
    <row r="595" spans="1:22" s="97" customFormat="1" ht="20.100000000000001" customHeight="1">
      <c r="A595" s="222"/>
      <c r="B595" s="178" t="s">
        <v>254</v>
      </c>
      <c r="C595" s="238" t="s">
        <v>718</v>
      </c>
      <c r="D595" s="239" t="s">
        <v>90</v>
      </c>
      <c r="E595" s="252">
        <f>SUM(E596:E598)</f>
        <v>44985.17</v>
      </c>
      <c r="F595" s="252">
        <f>SUM(F596:F598)</f>
        <v>44985.17</v>
      </c>
      <c r="G595" s="252">
        <f>SUM(G596:G598)</f>
        <v>44985.17</v>
      </c>
      <c r="H595" s="252">
        <v>44985.17</v>
      </c>
      <c r="I595" s="252">
        <v>44985.17</v>
      </c>
      <c r="J595" s="252">
        <v>44985.17</v>
      </c>
      <c r="K595" s="178" t="s">
        <v>254</v>
      </c>
      <c r="L595" s="238" t="s">
        <v>718</v>
      </c>
      <c r="M595" s="239" t="s">
        <v>90</v>
      </c>
      <c r="N595" s="252">
        <v>44985.17</v>
      </c>
      <c r="O595" s="252">
        <v>44985.17</v>
      </c>
      <c r="P595" s="252">
        <v>44985.17</v>
      </c>
      <c r="Q595" s="101" t="b">
        <f t="shared" si="161"/>
        <v>1</v>
      </c>
      <c r="R595" s="101" t="b">
        <f t="shared" si="162"/>
        <v>1</v>
      </c>
      <c r="S595" s="101" t="b">
        <f t="shared" si="163"/>
        <v>1</v>
      </c>
      <c r="T595" s="167">
        <f t="shared" si="164"/>
        <v>0</v>
      </c>
      <c r="U595" s="167">
        <f t="shared" si="165"/>
        <v>0</v>
      </c>
      <c r="V595" s="167">
        <f t="shared" si="166"/>
        <v>0</v>
      </c>
    </row>
    <row r="596" spans="1:22" s="97" customFormat="1" ht="20.100000000000001" customHeight="1">
      <c r="A596" s="222"/>
      <c r="B596" s="178" t="s">
        <v>143</v>
      </c>
      <c r="C596" s="238" t="s">
        <v>718</v>
      </c>
      <c r="D596" s="239" t="s">
        <v>157</v>
      </c>
      <c r="E596" s="252">
        <f>'Вед-я стр-ра'!H1342</f>
        <v>43826.1</v>
      </c>
      <c r="F596" s="252">
        <f>'Вед-я стр-ра'!I1342</f>
        <v>43826.1</v>
      </c>
      <c r="G596" s="252">
        <f>'Вед-я стр-ра'!J1342</f>
        <v>43826.1</v>
      </c>
      <c r="H596" s="252">
        <v>43826.1</v>
      </c>
      <c r="I596" s="252">
        <v>43826.1</v>
      </c>
      <c r="J596" s="252">
        <v>43826.1</v>
      </c>
      <c r="K596" s="178" t="s">
        <v>143</v>
      </c>
      <c r="L596" s="238" t="s">
        <v>718</v>
      </c>
      <c r="M596" s="239" t="s">
        <v>157</v>
      </c>
      <c r="N596" s="252">
        <v>43826.1</v>
      </c>
      <c r="O596" s="252">
        <v>43826.1</v>
      </c>
      <c r="P596" s="252">
        <v>43826.1</v>
      </c>
      <c r="Q596" s="101" t="b">
        <f t="shared" si="161"/>
        <v>1</v>
      </c>
      <c r="R596" s="101" t="b">
        <f t="shared" si="162"/>
        <v>1</v>
      </c>
      <c r="S596" s="101" t="b">
        <f t="shared" si="163"/>
        <v>1</v>
      </c>
      <c r="T596" s="167">
        <f t="shared" si="164"/>
        <v>0</v>
      </c>
      <c r="U596" s="167">
        <f t="shared" si="165"/>
        <v>0</v>
      </c>
      <c r="V596" s="167">
        <f t="shared" si="166"/>
        <v>0</v>
      </c>
    </row>
    <row r="597" spans="1:22" s="97" customFormat="1" ht="20.100000000000001" customHeight="1">
      <c r="A597" s="222"/>
      <c r="B597" s="178" t="s">
        <v>145</v>
      </c>
      <c r="C597" s="238" t="s">
        <v>718</v>
      </c>
      <c r="D597" s="239" t="s">
        <v>153</v>
      </c>
      <c r="E597" s="252">
        <f>'Вед-я стр-ра'!H1343</f>
        <v>1155</v>
      </c>
      <c r="F597" s="252">
        <f>'Вед-я стр-ра'!I1343</f>
        <v>1155</v>
      </c>
      <c r="G597" s="252">
        <f>'Вед-я стр-ра'!J1343</f>
        <v>1155</v>
      </c>
      <c r="H597" s="252">
        <v>1155</v>
      </c>
      <c r="I597" s="252">
        <v>1155</v>
      </c>
      <c r="J597" s="252">
        <v>1155</v>
      </c>
      <c r="K597" s="178" t="s">
        <v>145</v>
      </c>
      <c r="L597" s="238" t="s">
        <v>718</v>
      </c>
      <c r="M597" s="239" t="s">
        <v>153</v>
      </c>
      <c r="N597" s="252">
        <v>1155</v>
      </c>
      <c r="O597" s="252">
        <v>1155</v>
      </c>
      <c r="P597" s="252">
        <v>1155</v>
      </c>
      <c r="Q597" s="101" t="b">
        <f t="shared" si="161"/>
        <v>1</v>
      </c>
      <c r="R597" s="101" t="b">
        <f t="shared" si="162"/>
        <v>1</v>
      </c>
      <c r="S597" s="101" t="b">
        <f t="shared" si="163"/>
        <v>1</v>
      </c>
      <c r="T597" s="167">
        <f t="shared" si="164"/>
        <v>0</v>
      </c>
      <c r="U597" s="167">
        <f t="shared" si="165"/>
        <v>0</v>
      </c>
      <c r="V597" s="167">
        <f t="shared" si="166"/>
        <v>0</v>
      </c>
    </row>
    <row r="598" spans="1:22" s="97" customFormat="1" ht="20.100000000000001" customHeight="1">
      <c r="A598" s="222"/>
      <c r="B598" s="180" t="s">
        <v>137</v>
      </c>
      <c r="C598" s="238" t="s">
        <v>718</v>
      </c>
      <c r="D598" s="239" t="s">
        <v>155</v>
      </c>
      <c r="E598" s="252">
        <f>'Вед-я стр-ра'!H1344</f>
        <v>4.07</v>
      </c>
      <c r="F598" s="252">
        <f>'Вед-я стр-ра'!I1344</f>
        <v>4.07</v>
      </c>
      <c r="G598" s="252">
        <f>'Вед-я стр-ра'!J1344</f>
        <v>4.07</v>
      </c>
      <c r="H598" s="252">
        <v>4.07</v>
      </c>
      <c r="I598" s="252">
        <v>4.07</v>
      </c>
      <c r="J598" s="252">
        <v>4.07</v>
      </c>
      <c r="K598" s="180" t="s">
        <v>137</v>
      </c>
      <c r="L598" s="238" t="s">
        <v>718</v>
      </c>
      <c r="M598" s="239" t="s">
        <v>155</v>
      </c>
      <c r="N598" s="252">
        <v>4.07</v>
      </c>
      <c r="O598" s="252">
        <v>4.07</v>
      </c>
      <c r="P598" s="252">
        <v>4.07</v>
      </c>
      <c r="Q598" s="101" t="b">
        <f t="shared" si="161"/>
        <v>1</v>
      </c>
      <c r="R598" s="101" t="b">
        <f t="shared" si="162"/>
        <v>1</v>
      </c>
      <c r="S598" s="101" t="b">
        <f t="shared" si="163"/>
        <v>1</v>
      </c>
      <c r="T598" s="167">
        <f t="shared" si="164"/>
        <v>0</v>
      </c>
      <c r="U598" s="167">
        <f t="shared" si="165"/>
        <v>0</v>
      </c>
      <c r="V598" s="167">
        <f t="shared" si="166"/>
        <v>0</v>
      </c>
    </row>
    <row r="599" spans="1:22" s="97" customFormat="1" ht="20.100000000000001" customHeight="1">
      <c r="A599" s="222"/>
      <c r="B599" s="515" t="s">
        <v>1238</v>
      </c>
      <c r="C599" s="238" t="s">
        <v>719</v>
      </c>
      <c r="D599" s="239" t="s">
        <v>90</v>
      </c>
      <c r="E599" s="252">
        <f t="shared" ref="E599:G600" si="172">E600</f>
        <v>3117.56</v>
      </c>
      <c r="F599" s="252">
        <f t="shared" si="172"/>
        <v>3117.56</v>
      </c>
      <c r="G599" s="252">
        <f t="shared" si="172"/>
        <v>3117.56</v>
      </c>
      <c r="H599" s="252">
        <v>3117.56</v>
      </c>
      <c r="I599" s="252">
        <v>3117.56</v>
      </c>
      <c r="J599" s="252">
        <v>3117.56</v>
      </c>
      <c r="K599" s="180" t="s">
        <v>1031</v>
      </c>
      <c r="L599" s="238" t="s">
        <v>719</v>
      </c>
      <c r="M599" s="239" t="s">
        <v>90</v>
      </c>
      <c r="N599" s="252">
        <v>3117.56</v>
      </c>
      <c r="O599" s="252">
        <v>3117.56</v>
      </c>
      <c r="P599" s="252">
        <v>3117.56</v>
      </c>
      <c r="Q599" s="101" t="b">
        <f t="shared" si="161"/>
        <v>0</v>
      </c>
      <c r="R599" s="101" t="b">
        <f t="shared" si="162"/>
        <v>1</v>
      </c>
      <c r="S599" s="101" t="b">
        <f t="shared" si="163"/>
        <v>1</v>
      </c>
      <c r="T599" s="167">
        <f t="shared" si="164"/>
        <v>0</v>
      </c>
      <c r="U599" s="167">
        <f t="shared" si="165"/>
        <v>0</v>
      </c>
      <c r="V599" s="167">
        <f t="shared" si="166"/>
        <v>0</v>
      </c>
    </row>
    <row r="600" spans="1:22" s="97" customFormat="1" ht="20.100000000000001" customHeight="1">
      <c r="A600" s="222"/>
      <c r="B600" s="180" t="s">
        <v>199</v>
      </c>
      <c r="C600" s="238" t="s">
        <v>720</v>
      </c>
      <c r="D600" s="239" t="s">
        <v>90</v>
      </c>
      <c r="E600" s="252">
        <f t="shared" si="172"/>
        <v>3117.56</v>
      </c>
      <c r="F600" s="252">
        <f t="shared" si="172"/>
        <v>3117.56</v>
      </c>
      <c r="G600" s="252">
        <f t="shared" si="172"/>
        <v>3117.56</v>
      </c>
      <c r="H600" s="252">
        <v>3117.56</v>
      </c>
      <c r="I600" s="252">
        <v>3117.56</v>
      </c>
      <c r="J600" s="252">
        <v>3117.56</v>
      </c>
      <c r="K600" s="180" t="s">
        <v>199</v>
      </c>
      <c r="L600" s="238" t="s">
        <v>720</v>
      </c>
      <c r="M600" s="239" t="s">
        <v>90</v>
      </c>
      <c r="N600" s="252">
        <v>3117.56</v>
      </c>
      <c r="O600" s="252">
        <v>3117.56</v>
      </c>
      <c r="P600" s="252">
        <v>3117.56</v>
      </c>
      <c r="Q600" s="101" t="b">
        <f t="shared" si="161"/>
        <v>1</v>
      </c>
      <c r="R600" s="101" t="b">
        <f t="shared" si="162"/>
        <v>1</v>
      </c>
      <c r="S600" s="101" t="b">
        <f t="shared" si="163"/>
        <v>1</v>
      </c>
      <c r="T600" s="167">
        <f t="shared" si="164"/>
        <v>0</v>
      </c>
      <c r="U600" s="167">
        <f t="shared" si="165"/>
        <v>0</v>
      </c>
      <c r="V600" s="167">
        <f t="shared" si="166"/>
        <v>0</v>
      </c>
    </row>
    <row r="601" spans="1:22" s="97" customFormat="1" ht="20.100000000000001" customHeight="1">
      <c r="A601" s="222"/>
      <c r="B601" s="180" t="s">
        <v>145</v>
      </c>
      <c r="C601" s="238" t="s">
        <v>720</v>
      </c>
      <c r="D601" s="239" t="s">
        <v>153</v>
      </c>
      <c r="E601" s="252">
        <f>'Вед-я стр-ра'!H1347</f>
        <v>3117.56</v>
      </c>
      <c r="F601" s="252">
        <f>'Вед-я стр-ра'!I1347</f>
        <v>3117.56</v>
      </c>
      <c r="G601" s="252">
        <f>'Вед-я стр-ра'!J1347</f>
        <v>3117.56</v>
      </c>
      <c r="H601" s="252">
        <v>3117.56</v>
      </c>
      <c r="I601" s="252">
        <v>3117.56</v>
      </c>
      <c r="J601" s="252">
        <v>3117.56</v>
      </c>
      <c r="K601" s="180" t="s">
        <v>145</v>
      </c>
      <c r="L601" s="238" t="s">
        <v>720</v>
      </c>
      <c r="M601" s="239" t="s">
        <v>153</v>
      </c>
      <c r="N601" s="252">
        <v>3117.56</v>
      </c>
      <c r="O601" s="252">
        <v>3117.56</v>
      </c>
      <c r="P601" s="252">
        <v>3117.56</v>
      </c>
      <c r="Q601" s="101" t="b">
        <f t="shared" si="161"/>
        <v>1</v>
      </c>
      <c r="R601" s="101" t="b">
        <f t="shared" si="162"/>
        <v>1</v>
      </c>
      <c r="S601" s="101" t="b">
        <f t="shared" si="163"/>
        <v>1</v>
      </c>
      <c r="T601" s="167">
        <f t="shared" si="164"/>
        <v>0</v>
      </c>
      <c r="U601" s="167">
        <f t="shared" si="165"/>
        <v>0</v>
      </c>
      <c r="V601" s="167">
        <f t="shared" si="166"/>
        <v>0</v>
      </c>
    </row>
    <row r="602" spans="1:22" s="97" customFormat="1" ht="20.100000000000001" customHeight="1">
      <c r="A602" s="222"/>
      <c r="B602" s="515" t="s">
        <v>1239</v>
      </c>
      <c r="C602" s="238" t="s">
        <v>721</v>
      </c>
      <c r="D602" s="239" t="s">
        <v>90</v>
      </c>
      <c r="E602" s="252">
        <f t="shared" ref="E602:G603" si="173">E603</f>
        <v>3452</v>
      </c>
      <c r="F602" s="252">
        <f t="shared" si="173"/>
        <v>3452</v>
      </c>
      <c r="G602" s="252">
        <f t="shared" si="173"/>
        <v>3452</v>
      </c>
      <c r="H602" s="252">
        <v>3452</v>
      </c>
      <c r="I602" s="252">
        <v>3452</v>
      </c>
      <c r="J602" s="252">
        <v>3452</v>
      </c>
      <c r="K602" s="46" t="s">
        <v>785</v>
      </c>
      <c r="L602" s="238" t="s">
        <v>721</v>
      </c>
      <c r="M602" s="239" t="s">
        <v>90</v>
      </c>
      <c r="N602" s="252">
        <v>3452</v>
      </c>
      <c r="O602" s="252">
        <v>3452</v>
      </c>
      <c r="P602" s="252">
        <v>3452</v>
      </c>
      <c r="Q602" s="101" t="b">
        <f t="shared" si="161"/>
        <v>0</v>
      </c>
      <c r="R602" s="101" t="b">
        <f t="shared" si="162"/>
        <v>1</v>
      </c>
      <c r="S602" s="101" t="b">
        <f t="shared" si="163"/>
        <v>1</v>
      </c>
      <c r="T602" s="167">
        <f t="shared" si="164"/>
        <v>0</v>
      </c>
      <c r="U602" s="167">
        <f t="shared" si="165"/>
        <v>0</v>
      </c>
      <c r="V602" s="167">
        <f t="shared" si="166"/>
        <v>0</v>
      </c>
    </row>
    <row r="603" spans="1:22" s="97" customFormat="1" ht="20.100000000000001" customHeight="1">
      <c r="A603" s="222"/>
      <c r="B603" s="180" t="s">
        <v>158</v>
      </c>
      <c r="C603" s="238" t="s">
        <v>722</v>
      </c>
      <c r="D603" s="239" t="s">
        <v>90</v>
      </c>
      <c r="E603" s="252">
        <f t="shared" si="173"/>
        <v>3452</v>
      </c>
      <c r="F603" s="252">
        <f t="shared" si="173"/>
        <v>3452</v>
      </c>
      <c r="G603" s="252">
        <f t="shared" si="173"/>
        <v>3452</v>
      </c>
      <c r="H603" s="252">
        <v>3452</v>
      </c>
      <c r="I603" s="252">
        <v>3452</v>
      </c>
      <c r="J603" s="252">
        <v>3452</v>
      </c>
      <c r="K603" s="180" t="s">
        <v>158</v>
      </c>
      <c r="L603" s="238" t="s">
        <v>722</v>
      </c>
      <c r="M603" s="239" t="s">
        <v>90</v>
      </c>
      <c r="N603" s="252">
        <v>3452</v>
      </c>
      <c r="O603" s="252">
        <v>3452</v>
      </c>
      <c r="P603" s="252">
        <v>3452</v>
      </c>
      <c r="Q603" s="101" t="b">
        <f t="shared" si="161"/>
        <v>1</v>
      </c>
      <c r="R603" s="101" t="b">
        <f t="shared" si="162"/>
        <v>1</v>
      </c>
      <c r="S603" s="101" t="b">
        <f t="shared" si="163"/>
        <v>1</v>
      </c>
      <c r="T603" s="167">
        <f t="shared" si="164"/>
        <v>0</v>
      </c>
      <c r="U603" s="167">
        <f t="shared" si="165"/>
        <v>0</v>
      </c>
      <c r="V603" s="167">
        <f t="shared" si="166"/>
        <v>0</v>
      </c>
    </row>
    <row r="604" spans="1:22" s="97" customFormat="1" ht="20.100000000000001" customHeight="1">
      <c r="A604" s="222"/>
      <c r="B604" s="180" t="s">
        <v>145</v>
      </c>
      <c r="C604" s="238" t="s">
        <v>722</v>
      </c>
      <c r="D604" s="239" t="s">
        <v>153</v>
      </c>
      <c r="E604" s="252">
        <f>'Вед-я стр-ра'!H1350</f>
        <v>3452</v>
      </c>
      <c r="F604" s="252">
        <f>'Вед-я стр-ра'!I1350</f>
        <v>3452</v>
      </c>
      <c r="G604" s="252">
        <f>'Вед-я стр-ра'!J1350</f>
        <v>3452</v>
      </c>
      <c r="H604" s="252">
        <v>3452</v>
      </c>
      <c r="I604" s="252">
        <v>3452</v>
      </c>
      <c r="J604" s="252">
        <v>3452</v>
      </c>
      <c r="K604" s="180" t="s">
        <v>145</v>
      </c>
      <c r="L604" s="238" t="s">
        <v>722</v>
      </c>
      <c r="M604" s="239" t="s">
        <v>153</v>
      </c>
      <c r="N604" s="252">
        <v>3452</v>
      </c>
      <c r="O604" s="252">
        <v>3452</v>
      </c>
      <c r="P604" s="252">
        <v>3452</v>
      </c>
      <c r="Q604" s="101" t="b">
        <f t="shared" si="161"/>
        <v>1</v>
      </c>
      <c r="R604" s="101" t="b">
        <f t="shared" si="162"/>
        <v>1</v>
      </c>
      <c r="S604" s="101" t="b">
        <f t="shared" si="163"/>
        <v>1</v>
      </c>
      <c r="T604" s="167">
        <f t="shared" si="164"/>
        <v>0</v>
      </c>
      <c r="U604" s="167">
        <f t="shared" si="165"/>
        <v>0</v>
      </c>
      <c r="V604" s="167">
        <f t="shared" si="166"/>
        <v>0</v>
      </c>
    </row>
    <row r="605" spans="1:22" s="97" customFormat="1" ht="20.100000000000001" customHeight="1">
      <c r="A605" s="222"/>
      <c r="B605" s="515" t="s">
        <v>1282</v>
      </c>
      <c r="C605" s="238" t="s">
        <v>723</v>
      </c>
      <c r="D605" s="239" t="s">
        <v>90</v>
      </c>
      <c r="E605" s="252">
        <f t="shared" ref="E605:G606" si="174">E606</f>
        <v>889.12</v>
      </c>
      <c r="F605" s="252">
        <f t="shared" si="174"/>
        <v>889.69</v>
      </c>
      <c r="G605" s="252">
        <f t="shared" si="174"/>
        <v>890.28</v>
      </c>
      <c r="H605" s="252">
        <v>889.12</v>
      </c>
      <c r="I605" s="252">
        <v>889.69</v>
      </c>
      <c r="J605" s="252">
        <v>890.28</v>
      </c>
      <c r="K605" s="180" t="s">
        <v>744</v>
      </c>
      <c r="L605" s="238" t="s">
        <v>723</v>
      </c>
      <c r="M605" s="239" t="s">
        <v>90</v>
      </c>
      <c r="N605" s="252">
        <v>889.12</v>
      </c>
      <c r="O605" s="252">
        <v>889.69</v>
      </c>
      <c r="P605" s="252">
        <v>890.28</v>
      </c>
      <c r="Q605" s="101" t="b">
        <f t="shared" si="161"/>
        <v>0</v>
      </c>
      <c r="R605" s="101" t="b">
        <f t="shared" si="162"/>
        <v>1</v>
      </c>
      <c r="S605" s="101" t="b">
        <f t="shared" si="163"/>
        <v>1</v>
      </c>
      <c r="T605" s="167">
        <f t="shared" si="164"/>
        <v>0</v>
      </c>
      <c r="U605" s="167">
        <f t="shared" si="165"/>
        <v>0</v>
      </c>
      <c r="V605" s="167">
        <f t="shared" si="166"/>
        <v>0</v>
      </c>
    </row>
    <row r="606" spans="1:22" s="97" customFormat="1" ht="20.100000000000001" customHeight="1">
      <c r="A606" s="222"/>
      <c r="B606" s="180" t="s">
        <v>158</v>
      </c>
      <c r="C606" s="238" t="s">
        <v>724</v>
      </c>
      <c r="D606" s="239" t="s">
        <v>90</v>
      </c>
      <c r="E606" s="252">
        <f t="shared" si="174"/>
        <v>889.12</v>
      </c>
      <c r="F606" s="252">
        <f t="shared" si="174"/>
        <v>889.69</v>
      </c>
      <c r="G606" s="252">
        <f t="shared" si="174"/>
        <v>890.28</v>
      </c>
      <c r="H606" s="252">
        <v>889.12</v>
      </c>
      <c r="I606" s="252">
        <v>889.69</v>
      </c>
      <c r="J606" s="252">
        <v>890.28</v>
      </c>
      <c r="K606" s="180" t="s">
        <v>158</v>
      </c>
      <c r="L606" s="238" t="s">
        <v>724</v>
      </c>
      <c r="M606" s="239" t="s">
        <v>90</v>
      </c>
      <c r="N606" s="252">
        <v>889.12</v>
      </c>
      <c r="O606" s="252">
        <v>889.69</v>
      </c>
      <c r="P606" s="252">
        <v>890.28</v>
      </c>
      <c r="Q606" s="101" t="b">
        <f t="shared" si="161"/>
        <v>1</v>
      </c>
      <c r="R606" s="101" t="b">
        <f t="shared" si="162"/>
        <v>1</v>
      </c>
      <c r="S606" s="101" t="b">
        <f t="shared" si="163"/>
        <v>1</v>
      </c>
      <c r="T606" s="167">
        <f t="shared" si="164"/>
        <v>0</v>
      </c>
      <c r="U606" s="167">
        <f t="shared" si="165"/>
        <v>0</v>
      </c>
      <c r="V606" s="167">
        <f t="shared" si="166"/>
        <v>0</v>
      </c>
    </row>
    <row r="607" spans="1:22" s="97" customFormat="1" ht="20.100000000000001" customHeight="1">
      <c r="A607" s="222"/>
      <c r="B607" s="180" t="s">
        <v>145</v>
      </c>
      <c r="C607" s="238" t="s">
        <v>724</v>
      </c>
      <c r="D607" s="239" t="s">
        <v>153</v>
      </c>
      <c r="E607" s="252">
        <f>'Вед-я стр-ра'!H1353</f>
        <v>889.12</v>
      </c>
      <c r="F607" s="252">
        <f>'Вед-я стр-ра'!I1353</f>
        <v>889.69</v>
      </c>
      <c r="G607" s="252">
        <f>'Вед-я стр-ра'!J1353</f>
        <v>890.28</v>
      </c>
      <c r="H607" s="252">
        <v>889.12</v>
      </c>
      <c r="I607" s="252">
        <v>889.69</v>
      </c>
      <c r="J607" s="252">
        <v>890.28</v>
      </c>
      <c r="K607" s="180" t="s">
        <v>145</v>
      </c>
      <c r="L607" s="238" t="s">
        <v>724</v>
      </c>
      <c r="M607" s="239" t="s">
        <v>153</v>
      </c>
      <c r="N607" s="252">
        <v>889.12</v>
      </c>
      <c r="O607" s="252">
        <v>889.69</v>
      </c>
      <c r="P607" s="252">
        <v>890.28</v>
      </c>
      <c r="Q607" s="101" t="b">
        <f t="shared" si="161"/>
        <v>1</v>
      </c>
      <c r="R607" s="101" t="b">
        <f t="shared" si="162"/>
        <v>1</v>
      </c>
      <c r="S607" s="101" t="b">
        <f t="shared" si="163"/>
        <v>1</v>
      </c>
      <c r="T607" s="167">
        <f t="shared" si="164"/>
        <v>0</v>
      </c>
      <c r="U607" s="167">
        <f t="shared" si="165"/>
        <v>0</v>
      </c>
      <c r="V607" s="167">
        <f t="shared" si="166"/>
        <v>0</v>
      </c>
    </row>
    <row r="608" spans="1:22" s="97" customFormat="1" ht="20.100000000000001" customHeight="1">
      <c r="A608" s="222"/>
      <c r="B608" s="515" t="s">
        <v>1241</v>
      </c>
      <c r="C608" s="517" t="s">
        <v>1240</v>
      </c>
      <c r="D608" s="517" t="s">
        <v>90</v>
      </c>
      <c r="E608" s="518">
        <f t="shared" ref="E608:G610" si="175">E609</f>
        <v>272.95</v>
      </c>
      <c r="F608" s="518">
        <f t="shared" si="175"/>
        <v>272.95</v>
      </c>
      <c r="G608" s="518">
        <f t="shared" si="175"/>
        <v>272.95</v>
      </c>
      <c r="H608" s="518">
        <v>272.95</v>
      </c>
      <c r="I608" s="518">
        <v>272.95</v>
      </c>
      <c r="J608" s="518">
        <v>272.95</v>
      </c>
      <c r="K608" s="180"/>
      <c r="L608" s="238"/>
      <c r="M608" s="239"/>
      <c r="N608" s="252"/>
      <c r="O608" s="252"/>
      <c r="P608" s="252"/>
      <c r="Q608" s="101" t="b">
        <f t="shared" si="161"/>
        <v>0</v>
      </c>
      <c r="R608" s="101" t="b">
        <f t="shared" si="162"/>
        <v>0</v>
      </c>
      <c r="S608" s="101" t="b">
        <f t="shared" si="163"/>
        <v>0</v>
      </c>
      <c r="T608" s="167">
        <f t="shared" si="164"/>
        <v>272.95</v>
      </c>
      <c r="U608" s="167">
        <f t="shared" si="165"/>
        <v>272.95</v>
      </c>
      <c r="V608" s="167">
        <f t="shared" si="166"/>
        <v>272.95</v>
      </c>
    </row>
    <row r="609" spans="1:22" s="97" customFormat="1" ht="20.100000000000001" customHeight="1">
      <c r="A609" s="222"/>
      <c r="B609" s="515" t="s">
        <v>1242</v>
      </c>
      <c r="C609" s="517" t="s">
        <v>1244</v>
      </c>
      <c r="D609" s="517" t="s">
        <v>90</v>
      </c>
      <c r="E609" s="518">
        <f t="shared" si="175"/>
        <v>272.95</v>
      </c>
      <c r="F609" s="518">
        <f t="shared" si="175"/>
        <v>272.95</v>
      </c>
      <c r="G609" s="518">
        <f t="shared" si="175"/>
        <v>272.95</v>
      </c>
      <c r="H609" s="518">
        <v>272.95</v>
      </c>
      <c r="I609" s="518">
        <v>272.95</v>
      </c>
      <c r="J609" s="518">
        <v>272.95</v>
      </c>
      <c r="K609" s="180"/>
      <c r="L609" s="238"/>
      <c r="M609" s="239"/>
      <c r="N609" s="252"/>
      <c r="O609" s="252"/>
      <c r="P609" s="252"/>
      <c r="Q609" s="101" t="b">
        <f t="shared" si="161"/>
        <v>0</v>
      </c>
      <c r="R609" s="101" t="b">
        <f t="shared" si="162"/>
        <v>0</v>
      </c>
      <c r="S609" s="101" t="b">
        <f t="shared" si="163"/>
        <v>0</v>
      </c>
      <c r="T609" s="167">
        <f t="shared" si="164"/>
        <v>272.95</v>
      </c>
      <c r="U609" s="167">
        <f t="shared" si="165"/>
        <v>272.95</v>
      </c>
      <c r="V609" s="167">
        <f t="shared" si="166"/>
        <v>272.95</v>
      </c>
    </row>
    <row r="610" spans="1:22" s="97" customFormat="1" ht="20.100000000000001" customHeight="1">
      <c r="A610" s="222"/>
      <c r="B610" s="496" t="s">
        <v>1243</v>
      </c>
      <c r="C610" s="517" t="s">
        <v>1245</v>
      </c>
      <c r="D610" s="517" t="s">
        <v>90</v>
      </c>
      <c r="E610" s="518">
        <f>E611</f>
        <v>272.95</v>
      </c>
      <c r="F610" s="518">
        <f t="shared" si="175"/>
        <v>272.95</v>
      </c>
      <c r="G610" s="518">
        <f t="shared" si="175"/>
        <v>272.95</v>
      </c>
      <c r="H610" s="518">
        <v>272.95</v>
      </c>
      <c r="I610" s="518">
        <v>272.95</v>
      </c>
      <c r="J610" s="518">
        <v>272.95</v>
      </c>
      <c r="K610" s="180"/>
      <c r="L610" s="238"/>
      <c r="M610" s="239"/>
      <c r="N610" s="252"/>
      <c r="O610" s="252"/>
      <c r="P610" s="252"/>
      <c r="Q610" s="101" t="b">
        <f t="shared" si="161"/>
        <v>0</v>
      </c>
      <c r="R610" s="101" t="b">
        <f t="shared" si="162"/>
        <v>0</v>
      </c>
      <c r="S610" s="101" t="b">
        <f t="shared" si="163"/>
        <v>0</v>
      </c>
      <c r="T610" s="167">
        <f t="shared" si="164"/>
        <v>272.95</v>
      </c>
      <c r="U610" s="167">
        <f t="shared" si="165"/>
        <v>272.95</v>
      </c>
      <c r="V610" s="167">
        <f t="shared" si="166"/>
        <v>272.95</v>
      </c>
    </row>
    <row r="611" spans="1:22" s="97" customFormat="1" ht="20.100000000000001" customHeight="1">
      <c r="A611" s="222"/>
      <c r="B611" s="515" t="s">
        <v>145</v>
      </c>
      <c r="C611" s="517" t="s">
        <v>1245</v>
      </c>
      <c r="D611" s="517" t="s">
        <v>153</v>
      </c>
      <c r="E611" s="518">
        <f>'Вед-я стр-ра'!H1357</f>
        <v>272.95</v>
      </c>
      <c r="F611" s="518">
        <f>'Вед-я стр-ра'!I1357</f>
        <v>272.95</v>
      </c>
      <c r="G611" s="518">
        <f>'Вед-я стр-ра'!J1357</f>
        <v>272.95</v>
      </c>
      <c r="H611" s="518">
        <v>272.95</v>
      </c>
      <c r="I611" s="518">
        <v>272.95</v>
      </c>
      <c r="J611" s="518">
        <v>272.95</v>
      </c>
      <c r="K611" s="180"/>
      <c r="L611" s="238"/>
      <c r="M611" s="239"/>
      <c r="N611" s="252"/>
      <c r="O611" s="252"/>
      <c r="P611" s="252"/>
      <c r="Q611" s="101" t="b">
        <f t="shared" si="161"/>
        <v>0</v>
      </c>
      <c r="R611" s="101" t="b">
        <f t="shared" si="162"/>
        <v>0</v>
      </c>
      <c r="S611" s="101" t="b">
        <f t="shared" si="163"/>
        <v>0</v>
      </c>
      <c r="T611" s="167">
        <f t="shared" si="164"/>
        <v>272.95</v>
      </c>
      <c r="U611" s="167">
        <f t="shared" si="165"/>
        <v>272.95</v>
      </c>
      <c r="V611" s="167">
        <f t="shared" si="166"/>
        <v>272.95</v>
      </c>
    </row>
    <row r="612" spans="1:22" s="97" customFormat="1" ht="20.100000000000001" customHeight="1">
      <c r="A612" s="222"/>
      <c r="B612" s="180"/>
      <c r="C612" s="238"/>
      <c r="D612" s="239"/>
      <c r="E612" s="240"/>
      <c r="F612" s="240"/>
      <c r="G612" s="240"/>
      <c r="H612" s="240"/>
      <c r="I612" s="240"/>
      <c r="J612" s="240"/>
      <c r="K612" s="180"/>
      <c r="L612" s="238"/>
      <c r="M612" s="239"/>
      <c r="N612" s="240"/>
      <c r="O612" s="240"/>
      <c r="P612" s="240"/>
      <c r="Q612" s="101" t="b">
        <f t="shared" si="161"/>
        <v>1</v>
      </c>
      <c r="R612" s="101" t="b">
        <f t="shared" si="162"/>
        <v>1</v>
      </c>
      <c r="S612" s="101" t="b">
        <f t="shared" si="163"/>
        <v>1</v>
      </c>
      <c r="T612" s="167">
        <f t="shared" si="164"/>
        <v>0</v>
      </c>
      <c r="U612" s="167">
        <f t="shared" si="165"/>
        <v>0</v>
      </c>
      <c r="V612" s="167">
        <f t="shared" si="166"/>
        <v>0</v>
      </c>
    </row>
    <row r="613" spans="1:22" s="101" customFormat="1" ht="20.100000000000001" customHeight="1">
      <c r="A613" s="345"/>
      <c r="B613" s="42" t="s">
        <v>671</v>
      </c>
      <c r="C613" s="233" t="s">
        <v>326</v>
      </c>
      <c r="D613" s="233" t="s">
        <v>90</v>
      </c>
      <c r="E613" s="234">
        <f>E614</f>
        <v>9359.34</v>
      </c>
      <c r="F613" s="234">
        <f>F614</f>
        <v>9359.34</v>
      </c>
      <c r="G613" s="234">
        <f>G614</f>
        <v>9359.34</v>
      </c>
      <c r="H613" s="234">
        <v>9359.34</v>
      </c>
      <c r="I613" s="234">
        <v>9359.34</v>
      </c>
      <c r="J613" s="234">
        <v>9359.34</v>
      </c>
      <c r="K613" s="42" t="s">
        <v>671</v>
      </c>
      <c r="L613" s="233" t="s">
        <v>326</v>
      </c>
      <c r="M613" s="233" t="s">
        <v>90</v>
      </c>
      <c r="N613" s="234">
        <v>9359.34</v>
      </c>
      <c r="O613" s="234">
        <v>9359.34</v>
      </c>
      <c r="P613" s="234">
        <v>9359.34</v>
      </c>
      <c r="Q613" s="101" t="b">
        <f t="shared" si="161"/>
        <v>1</v>
      </c>
      <c r="R613" s="101" t="b">
        <f t="shared" si="162"/>
        <v>1</v>
      </c>
      <c r="S613" s="101" t="b">
        <f t="shared" si="163"/>
        <v>1</v>
      </c>
      <c r="T613" s="167">
        <f t="shared" si="164"/>
        <v>0</v>
      </c>
      <c r="U613" s="167">
        <f t="shared" si="165"/>
        <v>0</v>
      </c>
      <c r="V613" s="167">
        <f t="shared" si="166"/>
        <v>0</v>
      </c>
    </row>
    <row r="614" spans="1:22" s="102" customFormat="1" ht="20.100000000000001" customHeight="1">
      <c r="A614" s="346"/>
      <c r="B614" s="28" t="s">
        <v>672</v>
      </c>
      <c r="C614" s="236" t="s">
        <v>327</v>
      </c>
      <c r="D614" s="236" t="s">
        <v>90</v>
      </c>
      <c r="E614" s="237">
        <f>E615+E618</f>
        <v>9359.34</v>
      </c>
      <c r="F614" s="237">
        <f>F615+F618</f>
        <v>9359.34</v>
      </c>
      <c r="G614" s="237">
        <f>G615+G618</f>
        <v>9359.34</v>
      </c>
      <c r="H614" s="237">
        <v>9359.34</v>
      </c>
      <c r="I614" s="237">
        <v>9359.34</v>
      </c>
      <c r="J614" s="237">
        <v>9359.34</v>
      </c>
      <c r="K614" s="28" t="s">
        <v>672</v>
      </c>
      <c r="L614" s="236" t="s">
        <v>327</v>
      </c>
      <c r="M614" s="236" t="s">
        <v>90</v>
      </c>
      <c r="N614" s="237">
        <v>9359.34</v>
      </c>
      <c r="O614" s="237">
        <v>9359.34</v>
      </c>
      <c r="P614" s="237">
        <v>9359.34</v>
      </c>
      <c r="Q614" s="101" t="b">
        <f t="shared" si="161"/>
        <v>1</v>
      </c>
      <c r="R614" s="101" t="b">
        <f t="shared" si="162"/>
        <v>1</v>
      </c>
      <c r="S614" s="101" t="b">
        <f t="shared" si="163"/>
        <v>1</v>
      </c>
      <c r="T614" s="167">
        <f t="shared" si="164"/>
        <v>0</v>
      </c>
      <c r="U614" s="167">
        <f t="shared" si="165"/>
        <v>0</v>
      </c>
      <c r="V614" s="167">
        <f t="shared" si="166"/>
        <v>0</v>
      </c>
    </row>
    <row r="615" spans="1:22" s="90" customFormat="1" ht="20.100000000000001" customHeight="1">
      <c r="A615" s="347"/>
      <c r="B615" s="180" t="s">
        <v>328</v>
      </c>
      <c r="C615" s="238" t="s">
        <v>329</v>
      </c>
      <c r="D615" s="239" t="s">
        <v>90</v>
      </c>
      <c r="E615" s="240">
        <f t="shared" ref="E615:G616" si="176">E616</f>
        <v>5973.82</v>
      </c>
      <c r="F615" s="240">
        <f t="shared" si="176"/>
        <v>5973.82</v>
      </c>
      <c r="G615" s="240">
        <f t="shared" si="176"/>
        <v>5973.82</v>
      </c>
      <c r="H615" s="240">
        <v>5973.82</v>
      </c>
      <c r="I615" s="240">
        <v>5973.82</v>
      </c>
      <c r="J615" s="240">
        <v>5973.82</v>
      </c>
      <c r="K615" s="180" t="s">
        <v>328</v>
      </c>
      <c r="L615" s="238" t="s">
        <v>329</v>
      </c>
      <c r="M615" s="239" t="s">
        <v>90</v>
      </c>
      <c r="N615" s="240">
        <v>5973.82</v>
      </c>
      <c r="O615" s="240">
        <v>5973.82</v>
      </c>
      <c r="P615" s="240">
        <v>5973.82</v>
      </c>
      <c r="Q615" s="101" t="b">
        <f t="shared" si="161"/>
        <v>1</v>
      </c>
      <c r="R615" s="101" t="b">
        <f t="shared" si="162"/>
        <v>1</v>
      </c>
      <c r="S615" s="101" t="b">
        <f t="shared" si="163"/>
        <v>1</v>
      </c>
      <c r="T615" s="167">
        <f t="shared" si="164"/>
        <v>0</v>
      </c>
      <c r="U615" s="167">
        <f t="shared" si="165"/>
        <v>0</v>
      </c>
      <c r="V615" s="167">
        <f t="shared" si="166"/>
        <v>0</v>
      </c>
    </row>
    <row r="616" spans="1:22" s="90" customFormat="1" ht="20.100000000000001" customHeight="1">
      <c r="A616" s="347"/>
      <c r="B616" s="23" t="s">
        <v>811</v>
      </c>
      <c r="C616" s="238" t="s">
        <v>330</v>
      </c>
      <c r="D616" s="239" t="s">
        <v>90</v>
      </c>
      <c r="E616" s="240">
        <f t="shared" si="176"/>
        <v>5973.82</v>
      </c>
      <c r="F616" s="240">
        <f t="shared" si="176"/>
        <v>5973.82</v>
      </c>
      <c r="G616" s="240">
        <f t="shared" si="176"/>
        <v>5973.82</v>
      </c>
      <c r="H616" s="240">
        <v>5973.82</v>
      </c>
      <c r="I616" s="240">
        <v>5973.82</v>
      </c>
      <c r="J616" s="240">
        <v>5973.82</v>
      </c>
      <c r="K616" s="23" t="s">
        <v>811</v>
      </c>
      <c r="L616" s="238" t="s">
        <v>330</v>
      </c>
      <c r="M616" s="239" t="s">
        <v>90</v>
      </c>
      <c r="N616" s="240">
        <v>5973.82</v>
      </c>
      <c r="O616" s="240">
        <v>5973.82</v>
      </c>
      <c r="P616" s="240">
        <v>5973.82</v>
      </c>
      <c r="Q616" s="101" t="b">
        <f t="shared" si="161"/>
        <v>1</v>
      </c>
      <c r="R616" s="101" t="b">
        <f t="shared" si="162"/>
        <v>1</v>
      </c>
      <c r="S616" s="101" t="b">
        <f t="shared" si="163"/>
        <v>1</v>
      </c>
      <c r="T616" s="167">
        <f t="shared" si="164"/>
        <v>0</v>
      </c>
      <c r="U616" s="167">
        <f t="shared" si="165"/>
        <v>0</v>
      </c>
      <c r="V616" s="167">
        <f t="shared" si="166"/>
        <v>0</v>
      </c>
    </row>
    <row r="617" spans="1:22" s="90" customFormat="1" ht="20.100000000000001" customHeight="1">
      <c r="A617" s="347"/>
      <c r="B617" s="180" t="s">
        <v>132</v>
      </c>
      <c r="C617" s="238" t="s">
        <v>330</v>
      </c>
      <c r="D617" s="239" t="s">
        <v>171</v>
      </c>
      <c r="E617" s="240">
        <f>'Вед-я стр-ра'!H353+'Вед-я стр-ра'!H639</f>
        <v>5973.82</v>
      </c>
      <c r="F617" s="240">
        <f>'Вед-я стр-ра'!I353+'Вед-я стр-ра'!I639</f>
        <v>5973.82</v>
      </c>
      <c r="G617" s="240">
        <f>'Вед-я стр-ра'!J353+'Вед-я стр-ра'!J639</f>
        <v>5973.82</v>
      </c>
      <c r="H617" s="240">
        <v>5973.82</v>
      </c>
      <c r="I617" s="240">
        <v>5973.82</v>
      </c>
      <c r="J617" s="240">
        <v>5973.82</v>
      </c>
      <c r="K617" s="180" t="s">
        <v>132</v>
      </c>
      <c r="L617" s="238" t="s">
        <v>330</v>
      </c>
      <c r="M617" s="239" t="s">
        <v>171</v>
      </c>
      <c r="N617" s="240">
        <v>5973.82</v>
      </c>
      <c r="O617" s="240">
        <v>5973.82</v>
      </c>
      <c r="P617" s="240">
        <v>5973.82</v>
      </c>
      <c r="Q617" s="101" t="b">
        <f t="shared" si="161"/>
        <v>1</v>
      </c>
      <c r="R617" s="101" t="b">
        <f t="shared" si="162"/>
        <v>1</v>
      </c>
      <c r="S617" s="101" t="b">
        <f t="shared" si="163"/>
        <v>1</v>
      </c>
      <c r="T617" s="167">
        <f t="shared" si="164"/>
        <v>0</v>
      </c>
      <c r="U617" s="167">
        <f t="shared" si="165"/>
        <v>0</v>
      </c>
      <c r="V617" s="167">
        <f t="shared" si="166"/>
        <v>0</v>
      </c>
    </row>
    <row r="618" spans="1:22" s="90" customFormat="1" ht="20.100000000000001" customHeight="1">
      <c r="A618" s="347"/>
      <c r="B618" s="180" t="s">
        <v>457</v>
      </c>
      <c r="C618" s="238" t="s">
        <v>458</v>
      </c>
      <c r="D618" s="239" t="s">
        <v>90</v>
      </c>
      <c r="E618" s="240">
        <f t="shared" ref="E618:G619" si="177">E619</f>
        <v>3385.52</v>
      </c>
      <c r="F618" s="240">
        <f t="shared" si="177"/>
        <v>3385.52</v>
      </c>
      <c r="G618" s="240">
        <f t="shared" si="177"/>
        <v>3385.52</v>
      </c>
      <c r="H618" s="240">
        <v>3385.52</v>
      </c>
      <c r="I618" s="240">
        <v>3385.52</v>
      </c>
      <c r="J618" s="240">
        <v>3385.52</v>
      </c>
      <c r="K618" s="180" t="s">
        <v>457</v>
      </c>
      <c r="L618" s="238" t="s">
        <v>458</v>
      </c>
      <c r="M618" s="239" t="s">
        <v>90</v>
      </c>
      <c r="N618" s="240">
        <v>3385.52</v>
      </c>
      <c r="O618" s="240">
        <v>3385.52</v>
      </c>
      <c r="P618" s="240">
        <v>3385.52</v>
      </c>
      <c r="Q618" s="101" t="b">
        <f t="shared" si="161"/>
        <v>1</v>
      </c>
      <c r="R618" s="101" t="b">
        <f t="shared" si="162"/>
        <v>1</v>
      </c>
      <c r="S618" s="101" t="b">
        <f t="shared" si="163"/>
        <v>1</v>
      </c>
      <c r="T618" s="167">
        <f t="shared" si="164"/>
        <v>0</v>
      </c>
      <c r="U618" s="167">
        <f t="shared" si="165"/>
        <v>0</v>
      </c>
      <c r="V618" s="167">
        <f t="shared" si="166"/>
        <v>0</v>
      </c>
    </row>
    <row r="619" spans="1:22" s="90" customFormat="1" ht="20.100000000000001" customHeight="1">
      <c r="A619" s="347"/>
      <c r="B619" s="23" t="s">
        <v>811</v>
      </c>
      <c r="C619" s="238" t="s">
        <v>459</v>
      </c>
      <c r="D619" s="239" t="s">
        <v>90</v>
      </c>
      <c r="E619" s="240">
        <f t="shared" si="177"/>
        <v>3385.52</v>
      </c>
      <c r="F619" s="240">
        <f t="shared" si="177"/>
        <v>3385.52</v>
      </c>
      <c r="G619" s="240">
        <f t="shared" si="177"/>
        <v>3385.52</v>
      </c>
      <c r="H619" s="240">
        <v>3385.52</v>
      </c>
      <c r="I619" s="240">
        <v>3385.52</v>
      </c>
      <c r="J619" s="240">
        <v>3385.52</v>
      </c>
      <c r="K619" s="23" t="s">
        <v>811</v>
      </c>
      <c r="L619" s="238" t="s">
        <v>459</v>
      </c>
      <c r="M619" s="239" t="s">
        <v>90</v>
      </c>
      <c r="N619" s="240">
        <v>3385.52</v>
      </c>
      <c r="O619" s="240">
        <v>3385.52</v>
      </c>
      <c r="P619" s="240">
        <v>3385.52</v>
      </c>
      <c r="Q619" s="101" t="b">
        <f t="shared" si="161"/>
        <v>1</v>
      </c>
      <c r="R619" s="101" t="b">
        <f t="shared" si="162"/>
        <v>1</v>
      </c>
      <c r="S619" s="101" t="b">
        <f t="shared" si="163"/>
        <v>1</v>
      </c>
      <c r="T619" s="167">
        <f t="shared" si="164"/>
        <v>0</v>
      </c>
      <c r="U619" s="167">
        <f t="shared" si="165"/>
        <v>0</v>
      </c>
      <c r="V619" s="167">
        <f t="shared" si="166"/>
        <v>0</v>
      </c>
    </row>
    <row r="620" spans="1:22" s="90" customFormat="1" ht="20.100000000000001" customHeight="1">
      <c r="A620" s="347"/>
      <c r="B620" s="180" t="s">
        <v>145</v>
      </c>
      <c r="C620" s="238" t="s">
        <v>459</v>
      </c>
      <c r="D620" s="239" t="s">
        <v>153</v>
      </c>
      <c r="E620" s="240">
        <f>'Вед-я стр-ра'!H1205</f>
        <v>3385.52</v>
      </c>
      <c r="F620" s="240">
        <f>'Вед-я стр-ра'!I1205</f>
        <v>3385.52</v>
      </c>
      <c r="G620" s="240">
        <f>'Вед-я стр-ра'!J1205</f>
        <v>3385.52</v>
      </c>
      <c r="H620" s="240">
        <v>3385.52</v>
      </c>
      <c r="I620" s="240">
        <v>3385.52</v>
      </c>
      <c r="J620" s="240">
        <v>3385.52</v>
      </c>
      <c r="K620" s="180" t="s">
        <v>145</v>
      </c>
      <c r="L620" s="238" t="s">
        <v>459</v>
      </c>
      <c r="M620" s="239" t="s">
        <v>153</v>
      </c>
      <c r="N620" s="240">
        <v>3385.52</v>
      </c>
      <c r="O620" s="240">
        <v>3385.52</v>
      </c>
      <c r="P620" s="240">
        <v>3385.52</v>
      </c>
      <c r="Q620" s="101" t="b">
        <f t="shared" si="161"/>
        <v>1</v>
      </c>
      <c r="R620" s="101" t="b">
        <f t="shared" si="162"/>
        <v>1</v>
      </c>
      <c r="S620" s="101" t="b">
        <f t="shared" si="163"/>
        <v>1</v>
      </c>
      <c r="T620" s="167">
        <f t="shared" si="164"/>
        <v>0</v>
      </c>
      <c r="U620" s="167">
        <f t="shared" si="165"/>
        <v>0</v>
      </c>
      <c r="V620" s="167">
        <f t="shared" si="166"/>
        <v>0</v>
      </c>
    </row>
    <row r="621" spans="1:22" s="97" customFormat="1" ht="20.100000000000001" customHeight="1">
      <c r="A621" s="222"/>
      <c r="B621" s="180"/>
      <c r="C621" s="238"/>
      <c r="D621" s="239"/>
      <c r="E621" s="240"/>
      <c r="F621" s="240"/>
      <c r="G621" s="240"/>
      <c r="H621" s="240"/>
      <c r="I621" s="240"/>
      <c r="J621" s="240"/>
      <c r="K621" s="180"/>
      <c r="L621" s="238"/>
      <c r="M621" s="239"/>
      <c r="N621" s="240"/>
      <c r="O621" s="240"/>
      <c r="P621" s="240"/>
      <c r="Q621" s="101" t="b">
        <f t="shared" si="161"/>
        <v>1</v>
      </c>
      <c r="R621" s="101" t="b">
        <f t="shared" si="162"/>
        <v>1</v>
      </c>
      <c r="S621" s="101" t="b">
        <f t="shared" si="163"/>
        <v>1</v>
      </c>
      <c r="T621" s="167">
        <f t="shared" si="164"/>
        <v>0</v>
      </c>
      <c r="U621" s="167">
        <f t="shared" si="165"/>
        <v>0</v>
      </c>
      <c r="V621" s="167">
        <f t="shared" si="166"/>
        <v>0</v>
      </c>
    </row>
    <row r="622" spans="1:22" s="101" customFormat="1" ht="20.100000000000001" customHeight="1">
      <c r="A622" s="345"/>
      <c r="B622" s="42" t="s">
        <v>673</v>
      </c>
      <c r="C622" s="233" t="s">
        <v>261</v>
      </c>
      <c r="D622" s="233" t="s">
        <v>90</v>
      </c>
      <c r="E622" s="234">
        <f t="shared" ref="E622:G625" si="178">E623</f>
        <v>2944</v>
      </c>
      <c r="F622" s="234">
        <f t="shared" si="178"/>
        <v>2944</v>
      </c>
      <c r="G622" s="234">
        <f t="shared" si="178"/>
        <v>2944</v>
      </c>
      <c r="H622" s="234">
        <v>2944</v>
      </c>
      <c r="I622" s="234">
        <v>2944</v>
      </c>
      <c r="J622" s="234">
        <v>2944</v>
      </c>
      <c r="K622" s="42" t="s">
        <v>673</v>
      </c>
      <c r="L622" s="233" t="s">
        <v>261</v>
      </c>
      <c r="M622" s="233" t="s">
        <v>90</v>
      </c>
      <c r="N622" s="234">
        <v>2944</v>
      </c>
      <c r="O622" s="234">
        <v>2944</v>
      </c>
      <c r="P622" s="234">
        <v>2944</v>
      </c>
      <c r="Q622" s="101" t="b">
        <f t="shared" si="161"/>
        <v>1</v>
      </c>
      <c r="R622" s="101" t="b">
        <f t="shared" si="162"/>
        <v>1</v>
      </c>
      <c r="S622" s="101" t="b">
        <f t="shared" si="163"/>
        <v>1</v>
      </c>
      <c r="T622" s="167">
        <f t="shared" si="164"/>
        <v>0</v>
      </c>
      <c r="U622" s="167">
        <f t="shared" si="165"/>
        <v>0</v>
      </c>
      <c r="V622" s="167">
        <f t="shared" si="166"/>
        <v>0</v>
      </c>
    </row>
    <row r="623" spans="1:22" s="102" customFormat="1" ht="20.100000000000001" customHeight="1">
      <c r="A623" s="346"/>
      <c r="B623" s="28" t="s">
        <v>674</v>
      </c>
      <c r="C623" s="236" t="s">
        <v>262</v>
      </c>
      <c r="D623" s="236" t="s">
        <v>90</v>
      </c>
      <c r="E623" s="237">
        <f>E624+E627</f>
        <v>2944</v>
      </c>
      <c r="F623" s="237">
        <f>F624+F627</f>
        <v>2944</v>
      </c>
      <c r="G623" s="237">
        <f>G624+G627</f>
        <v>2944</v>
      </c>
      <c r="H623" s="237">
        <v>2944</v>
      </c>
      <c r="I623" s="237">
        <v>2944</v>
      </c>
      <c r="J623" s="237">
        <v>2944</v>
      </c>
      <c r="K623" s="28" t="s">
        <v>674</v>
      </c>
      <c r="L623" s="236" t="s">
        <v>262</v>
      </c>
      <c r="M623" s="236" t="s">
        <v>90</v>
      </c>
      <c r="N623" s="237">
        <v>2944</v>
      </c>
      <c r="O623" s="237">
        <v>2944</v>
      </c>
      <c r="P623" s="237">
        <v>2944</v>
      </c>
      <c r="Q623" s="101" t="b">
        <f t="shared" si="161"/>
        <v>1</v>
      </c>
      <c r="R623" s="101" t="b">
        <f t="shared" si="162"/>
        <v>1</v>
      </c>
      <c r="S623" s="101" t="b">
        <f t="shared" si="163"/>
        <v>1</v>
      </c>
      <c r="T623" s="167">
        <f t="shared" si="164"/>
        <v>0</v>
      </c>
      <c r="U623" s="167">
        <f t="shared" si="165"/>
        <v>0</v>
      </c>
      <c r="V623" s="167">
        <f t="shared" si="166"/>
        <v>0</v>
      </c>
    </row>
    <row r="624" spans="1:22" s="90" customFormat="1" ht="20.100000000000001" customHeight="1">
      <c r="A624" s="347"/>
      <c r="B624" s="180" t="s">
        <v>263</v>
      </c>
      <c r="C624" s="238" t="s">
        <v>264</v>
      </c>
      <c r="D624" s="239" t="s">
        <v>90</v>
      </c>
      <c r="E624" s="240">
        <f t="shared" si="178"/>
        <v>2852.2</v>
      </c>
      <c r="F624" s="240">
        <f t="shared" si="178"/>
        <v>2852.2</v>
      </c>
      <c r="G624" s="240">
        <f t="shared" si="178"/>
        <v>2852.2</v>
      </c>
      <c r="H624" s="240">
        <v>2852.2</v>
      </c>
      <c r="I624" s="240">
        <v>2852.2</v>
      </c>
      <c r="J624" s="240">
        <v>2852.2</v>
      </c>
      <c r="K624" s="180" t="s">
        <v>263</v>
      </c>
      <c r="L624" s="238" t="s">
        <v>264</v>
      </c>
      <c r="M624" s="239" t="s">
        <v>90</v>
      </c>
      <c r="N624" s="240">
        <v>2852.2</v>
      </c>
      <c r="O624" s="240">
        <v>2852.2</v>
      </c>
      <c r="P624" s="240">
        <v>2852.2</v>
      </c>
      <c r="Q624" s="101" t="b">
        <f t="shared" si="161"/>
        <v>1</v>
      </c>
      <c r="R624" s="101" t="b">
        <f t="shared" si="162"/>
        <v>1</v>
      </c>
      <c r="S624" s="101" t="b">
        <f t="shared" si="163"/>
        <v>1</v>
      </c>
      <c r="T624" s="167">
        <f t="shared" si="164"/>
        <v>0</v>
      </c>
      <c r="U624" s="167">
        <f t="shared" si="165"/>
        <v>0</v>
      </c>
      <c r="V624" s="167">
        <f t="shared" si="166"/>
        <v>0</v>
      </c>
    </row>
    <row r="625" spans="1:22" s="90" customFormat="1" ht="20.100000000000001" customHeight="1">
      <c r="A625" s="347"/>
      <c r="B625" s="178" t="s">
        <v>589</v>
      </c>
      <c r="C625" s="238" t="s">
        <v>265</v>
      </c>
      <c r="D625" s="239" t="s">
        <v>90</v>
      </c>
      <c r="E625" s="240">
        <f t="shared" si="178"/>
        <v>2852.2</v>
      </c>
      <c r="F625" s="240">
        <f t="shared" si="178"/>
        <v>2852.2</v>
      </c>
      <c r="G625" s="240">
        <f t="shared" si="178"/>
        <v>2852.2</v>
      </c>
      <c r="H625" s="240">
        <v>2852.2</v>
      </c>
      <c r="I625" s="240">
        <v>2852.2</v>
      </c>
      <c r="J625" s="240">
        <v>2852.2</v>
      </c>
      <c r="K625" s="178" t="s">
        <v>589</v>
      </c>
      <c r="L625" s="238" t="s">
        <v>265</v>
      </c>
      <c r="M625" s="239" t="s">
        <v>90</v>
      </c>
      <c r="N625" s="240">
        <v>2852.2</v>
      </c>
      <c r="O625" s="240">
        <v>2852.2</v>
      </c>
      <c r="P625" s="240">
        <v>2852.2</v>
      </c>
      <c r="Q625" s="101" t="b">
        <f t="shared" si="161"/>
        <v>1</v>
      </c>
      <c r="R625" s="101" t="b">
        <f t="shared" si="162"/>
        <v>1</v>
      </c>
      <c r="S625" s="101" t="b">
        <f t="shared" si="163"/>
        <v>1</v>
      </c>
      <c r="T625" s="167">
        <f t="shared" si="164"/>
        <v>0</v>
      </c>
      <c r="U625" s="167">
        <f t="shared" si="165"/>
        <v>0</v>
      </c>
      <c r="V625" s="167">
        <f t="shared" si="166"/>
        <v>0</v>
      </c>
    </row>
    <row r="626" spans="1:22" s="90" customFormat="1" ht="20.100000000000001" customHeight="1">
      <c r="A626" s="347"/>
      <c r="B626" s="180" t="s">
        <v>148</v>
      </c>
      <c r="C626" s="238" t="s">
        <v>265</v>
      </c>
      <c r="D626" s="239" t="s">
        <v>142</v>
      </c>
      <c r="E626" s="240">
        <f>'Вед-я стр-ра'!H113</f>
        <v>2852.2</v>
      </c>
      <c r="F626" s="240">
        <f>'Вед-я стр-ра'!I113</f>
        <v>2852.2</v>
      </c>
      <c r="G626" s="240">
        <f>'Вед-я стр-ра'!J113</f>
        <v>2852.2</v>
      </c>
      <c r="H626" s="240">
        <v>2852.2</v>
      </c>
      <c r="I626" s="240">
        <v>2852.2</v>
      </c>
      <c r="J626" s="240">
        <v>2852.2</v>
      </c>
      <c r="K626" s="180" t="s">
        <v>148</v>
      </c>
      <c r="L626" s="238" t="s">
        <v>265</v>
      </c>
      <c r="M626" s="239" t="s">
        <v>142</v>
      </c>
      <c r="N626" s="240">
        <v>2852.2</v>
      </c>
      <c r="O626" s="240">
        <v>2852.2</v>
      </c>
      <c r="P626" s="240">
        <v>2852.2</v>
      </c>
      <c r="Q626" s="101" t="b">
        <f t="shared" si="161"/>
        <v>1</v>
      </c>
      <c r="R626" s="101" t="b">
        <f t="shared" si="162"/>
        <v>1</v>
      </c>
      <c r="S626" s="101" t="b">
        <f t="shared" si="163"/>
        <v>1</v>
      </c>
      <c r="T626" s="167">
        <f t="shared" si="164"/>
        <v>0</v>
      </c>
      <c r="U626" s="167">
        <f t="shared" si="165"/>
        <v>0</v>
      </c>
      <c r="V626" s="167">
        <f t="shared" si="166"/>
        <v>0</v>
      </c>
    </row>
    <row r="627" spans="1:22" s="90" customFormat="1" ht="20.100000000000001" customHeight="1">
      <c r="A627" s="347"/>
      <c r="B627" s="180" t="s">
        <v>685</v>
      </c>
      <c r="C627" s="238" t="s">
        <v>686</v>
      </c>
      <c r="D627" s="239" t="s">
        <v>90</v>
      </c>
      <c r="E627" s="240">
        <f t="shared" ref="E627:G628" si="179">E628</f>
        <v>91.8</v>
      </c>
      <c r="F627" s="240">
        <f t="shared" si="179"/>
        <v>91.8</v>
      </c>
      <c r="G627" s="240">
        <f t="shared" si="179"/>
        <v>91.8</v>
      </c>
      <c r="H627" s="240">
        <v>91.8</v>
      </c>
      <c r="I627" s="240">
        <v>91.8</v>
      </c>
      <c r="J627" s="240">
        <v>91.8</v>
      </c>
      <c r="K627" s="180" t="s">
        <v>685</v>
      </c>
      <c r="L627" s="238" t="s">
        <v>686</v>
      </c>
      <c r="M627" s="239" t="s">
        <v>90</v>
      </c>
      <c r="N627" s="240">
        <v>91.8</v>
      </c>
      <c r="O627" s="240">
        <v>91.8</v>
      </c>
      <c r="P627" s="240">
        <v>91.8</v>
      </c>
      <c r="Q627" s="101" t="b">
        <f t="shared" si="161"/>
        <v>1</v>
      </c>
      <c r="R627" s="101" t="b">
        <f t="shared" si="162"/>
        <v>1</v>
      </c>
      <c r="S627" s="101" t="b">
        <f t="shared" si="163"/>
        <v>1</v>
      </c>
      <c r="T627" s="167">
        <f t="shared" si="164"/>
        <v>0</v>
      </c>
      <c r="U627" s="167">
        <f t="shared" si="165"/>
        <v>0</v>
      </c>
      <c r="V627" s="167">
        <f t="shared" si="166"/>
        <v>0</v>
      </c>
    </row>
    <row r="628" spans="1:22" s="90" customFormat="1" ht="20.100000000000001" customHeight="1">
      <c r="A628" s="347"/>
      <c r="B628" s="180" t="s">
        <v>687</v>
      </c>
      <c r="C628" s="238" t="s">
        <v>688</v>
      </c>
      <c r="D628" s="239" t="s">
        <v>90</v>
      </c>
      <c r="E628" s="240">
        <f t="shared" si="179"/>
        <v>91.8</v>
      </c>
      <c r="F628" s="240">
        <f t="shared" si="179"/>
        <v>91.8</v>
      </c>
      <c r="G628" s="240">
        <f t="shared" si="179"/>
        <v>91.8</v>
      </c>
      <c r="H628" s="240">
        <v>91.8</v>
      </c>
      <c r="I628" s="240">
        <v>91.8</v>
      </c>
      <c r="J628" s="240">
        <v>91.8</v>
      </c>
      <c r="K628" s="180" t="s">
        <v>687</v>
      </c>
      <c r="L628" s="238" t="s">
        <v>688</v>
      </c>
      <c r="M628" s="239" t="s">
        <v>90</v>
      </c>
      <c r="N628" s="240">
        <v>91.8</v>
      </c>
      <c r="O628" s="240">
        <v>91.8</v>
      </c>
      <c r="P628" s="240">
        <v>91.8</v>
      </c>
      <c r="Q628" s="101" t="b">
        <f t="shared" si="161"/>
        <v>1</v>
      </c>
      <c r="R628" s="101" t="b">
        <f t="shared" si="162"/>
        <v>1</v>
      </c>
      <c r="S628" s="101" t="b">
        <f t="shared" si="163"/>
        <v>1</v>
      </c>
      <c r="T628" s="167">
        <f t="shared" si="164"/>
        <v>0</v>
      </c>
      <c r="U628" s="167">
        <f t="shared" si="165"/>
        <v>0</v>
      </c>
      <c r="V628" s="167">
        <f t="shared" si="166"/>
        <v>0</v>
      </c>
    </row>
    <row r="629" spans="1:22" s="90" customFormat="1" ht="20.100000000000001" customHeight="1">
      <c r="A629" s="347"/>
      <c r="B629" s="180" t="s">
        <v>132</v>
      </c>
      <c r="C629" s="238" t="s">
        <v>688</v>
      </c>
      <c r="D629" s="239" t="s">
        <v>171</v>
      </c>
      <c r="E629" s="240">
        <f>'Вед-я стр-ра'!H419</f>
        <v>91.8</v>
      </c>
      <c r="F629" s="240">
        <f>'Вед-я стр-ра'!I419</f>
        <v>91.8</v>
      </c>
      <c r="G629" s="240">
        <f>'Вед-я стр-ра'!J419</f>
        <v>91.8</v>
      </c>
      <c r="H629" s="240">
        <v>91.8</v>
      </c>
      <c r="I629" s="240">
        <v>91.8</v>
      </c>
      <c r="J629" s="240">
        <v>91.8</v>
      </c>
      <c r="K629" s="180" t="s">
        <v>132</v>
      </c>
      <c r="L629" s="238" t="s">
        <v>688</v>
      </c>
      <c r="M629" s="239" t="s">
        <v>171</v>
      </c>
      <c r="N629" s="240">
        <v>91.8</v>
      </c>
      <c r="O629" s="240">
        <v>91.8</v>
      </c>
      <c r="P629" s="240">
        <v>91.8</v>
      </c>
      <c r="Q629" s="101" t="b">
        <f t="shared" si="161"/>
        <v>1</v>
      </c>
      <c r="R629" s="101" t="b">
        <f t="shared" si="162"/>
        <v>1</v>
      </c>
      <c r="S629" s="101" t="b">
        <f t="shared" si="163"/>
        <v>1</v>
      </c>
      <c r="T629" s="167">
        <f t="shared" si="164"/>
        <v>0</v>
      </c>
      <c r="U629" s="167">
        <f t="shared" si="165"/>
        <v>0</v>
      </c>
      <c r="V629" s="167">
        <f t="shared" si="166"/>
        <v>0</v>
      </c>
    </row>
    <row r="630" spans="1:22" ht="20.100000000000001" customHeight="1">
      <c r="B630" s="182"/>
      <c r="C630" s="70"/>
      <c r="D630" s="37"/>
      <c r="E630" s="183"/>
      <c r="F630" s="183"/>
      <c r="G630" s="183"/>
      <c r="H630" s="183"/>
      <c r="I630" s="183"/>
      <c r="J630" s="183"/>
      <c r="K630" s="182"/>
      <c r="L630" s="70"/>
      <c r="M630" s="37"/>
      <c r="N630" s="183"/>
      <c r="O630" s="183"/>
      <c r="P630" s="183"/>
      <c r="Q630" s="101" t="b">
        <f t="shared" si="161"/>
        <v>1</v>
      </c>
      <c r="R630" s="101" t="b">
        <f t="shared" si="162"/>
        <v>1</v>
      </c>
      <c r="S630" s="101" t="b">
        <f t="shared" si="163"/>
        <v>1</v>
      </c>
      <c r="T630" s="167">
        <f t="shared" si="164"/>
        <v>0</v>
      </c>
      <c r="U630" s="167">
        <f t="shared" si="165"/>
        <v>0</v>
      </c>
      <c r="V630" s="167">
        <f t="shared" si="166"/>
        <v>0</v>
      </c>
    </row>
    <row r="631" spans="1:22" s="101" customFormat="1" ht="20.100000000000001" customHeight="1">
      <c r="A631" s="345"/>
      <c r="B631" s="232" t="s">
        <v>794</v>
      </c>
      <c r="C631" s="233" t="s">
        <v>796</v>
      </c>
      <c r="D631" s="233" t="s">
        <v>90</v>
      </c>
      <c r="E631" s="234">
        <f>E632</f>
        <v>196756.9</v>
      </c>
      <c r="F631" s="234">
        <f>F632</f>
        <v>4589.93</v>
      </c>
      <c r="G631" s="234">
        <f>G632</f>
        <v>0</v>
      </c>
      <c r="H631" s="234">
        <v>4589.93</v>
      </c>
      <c r="I631" s="234">
        <v>4589.93</v>
      </c>
      <c r="J631" s="234">
        <v>0</v>
      </c>
      <c r="K631" s="232" t="s">
        <v>794</v>
      </c>
      <c r="L631" s="233" t="s">
        <v>796</v>
      </c>
      <c r="M631" s="233" t="s">
        <v>90</v>
      </c>
      <c r="N631" s="234">
        <v>4589.93</v>
      </c>
      <c r="O631" s="234">
        <v>4589.93</v>
      </c>
      <c r="P631" s="234">
        <v>0</v>
      </c>
      <c r="Q631" s="101" t="b">
        <f t="shared" si="161"/>
        <v>1</v>
      </c>
      <c r="R631" s="101" t="b">
        <f t="shared" si="162"/>
        <v>1</v>
      </c>
      <c r="S631" s="101" t="b">
        <f t="shared" si="163"/>
        <v>1</v>
      </c>
      <c r="T631" s="167">
        <f t="shared" si="164"/>
        <v>192166.97</v>
      </c>
      <c r="U631" s="167">
        <f t="shared" si="165"/>
        <v>0</v>
      </c>
      <c r="V631" s="167">
        <f t="shared" si="166"/>
        <v>0</v>
      </c>
    </row>
    <row r="632" spans="1:22" s="102" customFormat="1" ht="20.100000000000001" customHeight="1">
      <c r="A632" s="346"/>
      <c r="B632" s="241" t="s">
        <v>795</v>
      </c>
      <c r="C632" s="236" t="s">
        <v>797</v>
      </c>
      <c r="D632" s="236" t="s">
        <v>90</v>
      </c>
      <c r="E632" s="237">
        <f>E633+E637+E640</f>
        <v>196756.9</v>
      </c>
      <c r="F632" s="237">
        <f>F633+F637+F640</f>
        <v>4589.93</v>
      </c>
      <c r="G632" s="237">
        <f>G633+G637+G640</f>
        <v>0</v>
      </c>
      <c r="H632" s="237">
        <v>4589.93</v>
      </c>
      <c r="I632" s="237">
        <v>4589.93</v>
      </c>
      <c r="J632" s="237">
        <v>0</v>
      </c>
      <c r="K632" s="241" t="s">
        <v>795</v>
      </c>
      <c r="L632" s="236" t="s">
        <v>797</v>
      </c>
      <c r="M632" s="236" t="s">
        <v>90</v>
      </c>
      <c r="N632" s="237">
        <v>4589.93</v>
      </c>
      <c r="O632" s="237">
        <v>4589.93</v>
      </c>
      <c r="P632" s="237">
        <v>0</v>
      </c>
      <c r="Q632" s="101" t="b">
        <f t="shared" si="161"/>
        <v>1</v>
      </c>
      <c r="R632" s="101" t="b">
        <f t="shared" si="162"/>
        <v>1</v>
      </c>
      <c r="S632" s="101" t="b">
        <f t="shared" si="163"/>
        <v>1</v>
      </c>
      <c r="T632" s="167">
        <f t="shared" si="164"/>
        <v>192166.97</v>
      </c>
      <c r="U632" s="167">
        <f t="shared" si="165"/>
        <v>0</v>
      </c>
      <c r="V632" s="167">
        <f t="shared" si="166"/>
        <v>0</v>
      </c>
    </row>
    <row r="633" spans="1:22" s="102" customFormat="1" ht="20.100000000000001" customHeight="1">
      <c r="A633" s="346"/>
      <c r="B633" s="182" t="s">
        <v>1004</v>
      </c>
      <c r="C633" s="37" t="s">
        <v>1005</v>
      </c>
      <c r="D633" s="37" t="s">
        <v>90</v>
      </c>
      <c r="E633" s="72">
        <f t="shared" ref="E633:G634" si="180">E634</f>
        <v>196047.05</v>
      </c>
      <c r="F633" s="72">
        <f t="shared" si="180"/>
        <v>3880.08</v>
      </c>
      <c r="G633" s="72">
        <f t="shared" si="180"/>
        <v>0</v>
      </c>
      <c r="H633" s="72">
        <v>3880.08</v>
      </c>
      <c r="I633" s="72">
        <v>3880.08</v>
      </c>
      <c r="J633" s="72">
        <v>0</v>
      </c>
      <c r="K633" s="182" t="s">
        <v>1004</v>
      </c>
      <c r="L633" s="37" t="s">
        <v>1005</v>
      </c>
      <c r="M633" s="37" t="s">
        <v>90</v>
      </c>
      <c r="N633" s="72">
        <v>3880.08</v>
      </c>
      <c r="O633" s="72">
        <v>3880.08</v>
      </c>
      <c r="P633" s="72">
        <v>0</v>
      </c>
      <c r="Q633" s="101" t="b">
        <f t="shared" si="161"/>
        <v>1</v>
      </c>
      <c r="R633" s="101" t="b">
        <f t="shared" si="162"/>
        <v>1</v>
      </c>
      <c r="S633" s="101" t="b">
        <f t="shared" si="163"/>
        <v>1</v>
      </c>
      <c r="T633" s="167">
        <f t="shared" si="164"/>
        <v>192166.97</v>
      </c>
      <c r="U633" s="167">
        <f t="shared" si="165"/>
        <v>0</v>
      </c>
      <c r="V633" s="167">
        <f t="shared" si="166"/>
        <v>0</v>
      </c>
    </row>
    <row r="634" spans="1:22" ht="20.100000000000001" customHeight="1">
      <c r="B634" s="182" t="s">
        <v>862</v>
      </c>
      <c r="C634" s="37" t="s">
        <v>861</v>
      </c>
      <c r="D634" s="37" t="s">
        <v>90</v>
      </c>
      <c r="E634" s="69">
        <f t="shared" si="180"/>
        <v>196047.05</v>
      </c>
      <c r="F634" s="69">
        <f t="shared" si="180"/>
        <v>3880.08</v>
      </c>
      <c r="G634" s="69">
        <f t="shared" si="180"/>
        <v>0</v>
      </c>
      <c r="H634" s="69">
        <v>3880.08</v>
      </c>
      <c r="I634" s="69">
        <v>3880.08</v>
      </c>
      <c r="J634" s="69">
        <v>0</v>
      </c>
      <c r="K634" s="182" t="s">
        <v>862</v>
      </c>
      <c r="L634" s="37" t="s">
        <v>861</v>
      </c>
      <c r="M634" s="37" t="s">
        <v>90</v>
      </c>
      <c r="N634" s="69">
        <v>3880.08</v>
      </c>
      <c r="O634" s="69">
        <v>3880.08</v>
      </c>
      <c r="P634" s="69">
        <v>0</v>
      </c>
      <c r="Q634" s="101" t="b">
        <f t="shared" si="161"/>
        <v>1</v>
      </c>
      <c r="R634" s="101" t="b">
        <f t="shared" si="162"/>
        <v>1</v>
      </c>
      <c r="S634" s="101" t="b">
        <f t="shared" si="163"/>
        <v>1</v>
      </c>
      <c r="T634" s="167">
        <f t="shared" si="164"/>
        <v>192166.97</v>
      </c>
      <c r="U634" s="167">
        <f t="shared" si="165"/>
        <v>0</v>
      </c>
      <c r="V634" s="167">
        <f t="shared" si="166"/>
        <v>0</v>
      </c>
    </row>
    <row r="635" spans="1:22" ht="20.100000000000001" customHeight="1">
      <c r="B635" s="182" t="s">
        <v>863</v>
      </c>
      <c r="C635" s="37" t="s">
        <v>860</v>
      </c>
      <c r="D635" s="37" t="s">
        <v>90</v>
      </c>
      <c r="E635" s="69">
        <f>E636</f>
        <v>196047.05</v>
      </c>
      <c r="F635" s="69">
        <f>F636</f>
        <v>3880.08</v>
      </c>
      <c r="G635" s="69">
        <f>G636</f>
        <v>0</v>
      </c>
      <c r="H635" s="69">
        <v>3880.08</v>
      </c>
      <c r="I635" s="69">
        <v>3880.08</v>
      </c>
      <c r="J635" s="69">
        <v>0</v>
      </c>
      <c r="K635" s="182" t="s">
        <v>863</v>
      </c>
      <c r="L635" s="37" t="s">
        <v>860</v>
      </c>
      <c r="M635" s="37" t="s">
        <v>90</v>
      </c>
      <c r="N635" s="69">
        <v>3880.08</v>
      </c>
      <c r="O635" s="69">
        <v>3880.08</v>
      </c>
      <c r="P635" s="69">
        <v>0</v>
      </c>
      <c r="Q635" s="101" t="b">
        <f t="shared" ref="Q635:Q696" si="181">B635=K635</f>
        <v>1</v>
      </c>
      <c r="R635" s="101" t="b">
        <f t="shared" ref="R635:R696" si="182">C635=L635</f>
        <v>1</v>
      </c>
      <c r="S635" s="101" t="b">
        <f t="shared" ref="S635:S696" si="183">D635=M635</f>
        <v>1</v>
      </c>
      <c r="T635" s="167">
        <f t="shared" ref="T635:T696" si="184">E635-N635</f>
        <v>192166.97</v>
      </c>
      <c r="U635" s="167">
        <f t="shared" ref="U635:U696" si="185">F635-O635</f>
        <v>0</v>
      </c>
      <c r="V635" s="167">
        <f t="shared" ref="V635:V696" si="186">G635-P635</f>
        <v>0</v>
      </c>
    </row>
    <row r="636" spans="1:22" ht="20.100000000000001" customHeight="1">
      <c r="B636" s="182" t="s">
        <v>145</v>
      </c>
      <c r="C636" s="37" t="s">
        <v>860</v>
      </c>
      <c r="D636" s="37" t="s">
        <v>153</v>
      </c>
      <c r="E636" s="69">
        <f>'Вед-я стр-ра'!H1211</f>
        <v>196047.05</v>
      </c>
      <c r="F636" s="69">
        <f>'Вед-я стр-ра'!I1211</f>
        <v>3880.08</v>
      </c>
      <c r="G636" s="69">
        <f>'Вед-я стр-ра'!J1211</f>
        <v>0</v>
      </c>
      <c r="H636" s="69">
        <v>3880.08</v>
      </c>
      <c r="I636" s="69">
        <v>3880.08</v>
      </c>
      <c r="J636" s="69">
        <v>0</v>
      </c>
      <c r="K636" s="182" t="s">
        <v>145</v>
      </c>
      <c r="L636" s="37" t="s">
        <v>860</v>
      </c>
      <c r="M636" s="37" t="s">
        <v>153</v>
      </c>
      <c r="N636" s="69">
        <v>3880.08</v>
      </c>
      <c r="O636" s="69">
        <v>3880.08</v>
      </c>
      <c r="P636" s="69">
        <v>0</v>
      </c>
      <c r="Q636" s="101" t="b">
        <f t="shared" si="181"/>
        <v>1</v>
      </c>
      <c r="R636" s="101" t="b">
        <f t="shared" si="182"/>
        <v>1</v>
      </c>
      <c r="S636" s="101" t="b">
        <f t="shared" si="183"/>
        <v>1</v>
      </c>
      <c r="T636" s="167">
        <f t="shared" si="184"/>
        <v>192166.97</v>
      </c>
      <c r="U636" s="167">
        <f t="shared" si="185"/>
        <v>0</v>
      </c>
      <c r="V636" s="167">
        <f t="shared" si="186"/>
        <v>0</v>
      </c>
    </row>
    <row r="637" spans="1:22" ht="20.100000000000001" customHeight="1">
      <c r="B637" s="182" t="s">
        <v>878</v>
      </c>
      <c r="C637" s="37" t="s">
        <v>805</v>
      </c>
      <c r="D637" s="37" t="s">
        <v>90</v>
      </c>
      <c r="E637" s="69">
        <f t="shared" ref="E637:G641" si="187">E638</f>
        <v>450</v>
      </c>
      <c r="F637" s="69">
        <f t="shared" si="187"/>
        <v>450</v>
      </c>
      <c r="G637" s="69">
        <f t="shared" si="187"/>
        <v>0</v>
      </c>
      <c r="H637" s="69">
        <v>450</v>
      </c>
      <c r="I637" s="69">
        <v>450</v>
      </c>
      <c r="J637" s="69">
        <v>0</v>
      </c>
      <c r="K637" s="182" t="s">
        <v>878</v>
      </c>
      <c r="L637" s="37" t="s">
        <v>805</v>
      </c>
      <c r="M637" s="37" t="s">
        <v>90</v>
      </c>
      <c r="N637" s="69">
        <v>450</v>
      </c>
      <c r="O637" s="69">
        <v>450</v>
      </c>
      <c r="P637" s="69">
        <v>0</v>
      </c>
      <c r="Q637" s="101" t="b">
        <f t="shared" si="181"/>
        <v>1</v>
      </c>
      <c r="R637" s="101" t="b">
        <f t="shared" si="182"/>
        <v>1</v>
      </c>
      <c r="S637" s="101" t="b">
        <f t="shared" si="183"/>
        <v>1</v>
      </c>
      <c r="T637" s="167">
        <f t="shared" si="184"/>
        <v>0</v>
      </c>
      <c r="U637" s="167">
        <f t="shared" si="185"/>
        <v>0</v>
      </c>
      <c r="V637" s="167">
        <f t="shared" si="186"/>
        <v>0</v>
      </c>
    </row>
    <row r="638" spans="1:22" ht="20.100000000000001" customHeight="1">
      <c r="B638" s="178" t="s">
        <v>187</v>
      </c>
      <c r="C638" s="37" t="s">
        <v>806</v>
      </c>
      <c r="D638" s="37" t="s">
        <v>90</v>
      </c>
      <c r="E638" s="69">
        <f t="shared" si="187"/>
        <v>450</v>
      </c>
      <c r="F638" s="69">
        <f t="shared" si="187"/>
        <v>450</v>
      </c>
      <c r="G638" s="69">
        <f t="shared" si="187"/>
        <v>0</v>
      </c>
      <c r="H638" s="69">
        <v>450</v>
      </c>
      <c r="I638" s="69">
        <v>450</v>
      </c>
      <c r="J638" s="69">
        <v>0</v>
      </c>
      <c r="K638" s="178" t="s">
        <v>187</v>
      </c>
      <c r="L638" s="37" t="s">
        <v>806</v>
      </c>
      <c r="M638" s="37" t="s">
        <v>90</v>
      </c>
      <c r="N638" s="69">
        <v>450</v>
      </c>
      <c r="O638" s="69">
        <v>450</v>
      </c>
      <c r="P638" s="69">
        <v>0</v>
      </c>
      <c r="Q638" s="101" t="b">
        <f t="shared" si="181"/>
        <v>1</v>
      </c>
      <c r="R638" s="101" t="b">
        <f t="shared" si="182"/>
        <v>1</v>
      </c>
      <c r="S638" s="101" t="b">
        <f t="shared" si="183"/>
        <v>1</v>
      </c>
      <c r="T638" s="167">
        <f t="shared" si="184"/>
        <v>0</v>
      </c>
      <c r="U638" s="167">
        <f t="shared" si="185"/>
        <v>0</v>
      </c>
      <c r="V638" s="167">
        <f t="shared" si="186"/>
        <v>0</v>
      </c>
    </row>
    <row r="639" spans="1:22" ht="20.100000000000001" customHeight="1">
      <c r="B639" s="178" t="s">
        <v>145</v>
      </c>
      <c r="C639" s="37" t="s">
        <v>806</v>
      </c>
      <c r="D639" s="37" t="s">
        <v>153</v>
      </c>
      <c r="E639" s="69">
        <f>'Вед-я стр-ра'!H1214</f>
        <v>450</v>
      </c>
      <c r="F639" s="69">
        <f>'Вед-я стр-ра'!I1214</f>
        <v>450</v>
      </c>
      <c r="G639" s="69">
        <f>'Вед-я стр-ра'!J1214</f>
        <v>0</v>
      </c>
      <c r="H639" s="69">
        <v>450</v>
      </c>
      <c r="I639" s="69">
        <v>450</v>
      </c>
      <c r="J639" s="69">
        <v>0</v>
      </c>
      <c r="K639" s="178" t="s">
        <v>145</v>
      </c>
      <c r="L639" s="37" t="s">
        <v>806</v>
      </c>
      <c r="M639" s="37" t="s">
        <v>153</v>
      </c>
      <c r="N639" s="69">
        <v>450</v>
      </c>
      <c r="O639" s="69">
        <v>450</v>
      </c>
      <c r="P639" s="69">
        <v>0</v>
      </c>
      <c r="Q639" s="101" t="b">
        <f t="shared" si="181"/>
        <v>1</v>
      </c>
      <c r="R639" s="101" t="b">
        <f t="shared" si="182"/>
        <v>1</v>
      </c>
      <c r="S639" s="101" t="b">
        <f t="shared" si="183"/>
        <v>1</v>
      </c>
      <c r="T639" s="167">
        <f t="shared" si="184"/>
        <v>0</v>
      </c>
      <c r="U639" s="167">
        <f t="shared" si="185"/>
        <v>0</v>
      </c>
      <c r="V639" s="167">
        <f t="shared" si="186"/>
        <v>0</v>
      </c>
    </row>
    <row r="640" spans="1:22" ht="20.100000000000001" customHeight="1">
      <c r="B640" s="182" t="s">
        <v>989</v>
      </c>
      <c r="C640" s="37" t="s">
        <v>984</v>
      </c>
      <c r="D640" s="37" t="s">
        <v>90</v>
      </c>
      <c r="E640" s="69">
        <f t="shared" si="187"/>
        <v>259.85000000000002</v>
      </c>
      <c r="F640" s="69">
        <f t="shared" si="187"/>
        <v>259.85000000000002</v>
      </c>
      <c r="G640" s="69">
        <f t="shared" si="187"/>
        <v>0</v>
      </c>
      <c r="H640" s="69">
        <v>259.85000000000002</v>
      </c>
      <c r="I640" s="69">
        <v>259.85000000000002</v>
      </c>
      <c r="J640" s="69">
        <v>0</v>
      </c>
      <c r="K640" s="182" t="s">
        <v>989</v>
      </c>
      <c r="L640" s="37" t="s">
        <v>984</v>
      </c>
      <c r="M640" s="37" t="s">
        <v>90</v>
      </c>
      <c r="N640" s="69">
        <v>259.85000000000002</v>
      </c>
      <c r="O640" s="69">
        <v>259.85000000000002</v>
      </c>
      <c r="P640" s="69">
        <v>0</v>
      </c>
      <c r="Q640" s="101" t="b">
        <f t="shared" si="181"/>
        <v>1</v>
      </c>
      <c r="R640" s="101" t="b">
        <f t="shared" si="182"/>
        <v>1</v>
      </c>
      <c r="S640" s="101" t="b">
        <f t="shared" si="183"/>
        <v>1</v>
      </c>
      <c r="T640" s="167">
        <f t="shared" si="184"/>
        <v>0</v>
      </c>
      <c r="U640" s="167">
        <f t="shared" si="185"/>
        <v>0</v>
      </c>
      <c r="V640" s="167">
        <f t="shared" si="186"/>
        <v>0</v>
      </c>
    </row>
    <row r="641" spans="1:22" ht="20.100000000000001" customHeight="1">
      <c r="B641" s="178" t="s">
        <v>187</v>
      </c>
      <c r="C641" s="37" t="s">
        <v>985</v>
      </c>
      <c r="D641" s="37" t="s">
        <v>90</v>
      </c>
      <c r="E641" s="69">
        <f t="shared" si="187"/>
        <v>259.85000000000002</v>
      </c>
      <c r="F641" s="69">
        <f t="shared" si="187"/>
        <v>259.85000000000002</v>
      </c>
      <c r="G641" s="69">
        <f t="shared" si="187"/>
        <v>0</v>
      </c>
      <c r="H641" s="69">
        <v>259.85000000000002</v>
      </c>
      <c r="I641" s="69">
        <v>259.85000000000002</v>
      </c>
      <c r="J641" s="69">
        <v>0</v>
      </c>
      <c r="K641" s="178" t="s">
        <v>187</v>
      </c>
      <c r="L641" s="37" t="s">
        <v>985</v>
      </c>
      <c r="M641" s="37" t="s">
        <v>90</v>
      </c>
      <c r="N641" s="69">
        <v>259.85000000000002</v>
      </c>
      <c r="O641" s="69">
        <v>259.85000000000002</v>
      </c>
      <c r="P641" s="69">
        <v>0</v>
      </c>
      <c r="Q641" s="101" t="b">
        <f t="shared" si="181"/>
        <v>1</v>
      </c>
      <c r="R641" s="101" t="b">
        <f t="shared" si="182"/>
        <v>1</v>
      </c>
      <c r="S641" s="101" t="b">
        <f t="shared" si="183"/>
        <v>1</v>
      </c>
      <c r="T641" s="167">
        <f t="shared" si="184"/>
        <v>0</v>
      </c>
      <c r="U641" s="167">
        <f t="shared" si="185"/>
        <v>0</v>
      </c>
      <c r="V641" s="167">
        <f t="shared" si="186"/>
        <v>0</v>
      </c>
    </row>
    <row r="642" spans="1:22" ht="20.100000000000001" customHeight="1">
      <c r="B642" s="178" t="s">
        <v>145</v>
      </c>
      <c r="C642" s="37" t="s">
        <v>985</v>
      </c>
      <c r="D642" s="37" t="s">
        <v>153</v>
      </c>
      <c r="E642" s="69">
        <f>'Вед-я стр-ра'!H1217</f>
        <v>259.85000000000002</v>
      </c>
      <c r="F642" s="69">
        <f>'Вед-я стр-ра'!I1217</f>
        <v>259.85000000000002</v>
      </c>
      <c r="G642" s="69">
        <f>'Вед-я стр-ра'!J1217</f>
        <v>0</v>
      </c>
      <c r="H642" s="69">
        <v>259.85000000000002</v>
      </c>
      <c r="I642" s="69">
        <v>259.85000000000002</v>
      </c>
      <c r="J642" s="69">
        <v>0</v>
      </c>
      <c r="K642" s="178" t="s">
        <v>145</v>
      </c>
      <c r="L642" s="37" t="s">
        <v>985</v>
      </c>
      <c r="M642" s="37" t="s">
        <v>153</v>
      </c>
      <c r="N642" s="69">
        <v>259.85000000000002</v>
      </c>
      <c r="O642" s="69">
        <v>259.85000000000002</v>
      </c>
      <c r="P642" s="69">
        <v>0</v>
      </c>
      <c r="Q642" s="101" t="b">
        <f t="shared" si="181"/>
        <v>1</v>
      </c>
      <c r="R642" s="101" t="b">
        <f t="shared" si="182"/>
        <v>1</v>
      </c>
      <c r="S642" s="101" t="b">
        <f t="shared" si="183"/>
        <v>1</v>
      </c>
      <c r="T642" s="167">
        <f t="shared" si="184"/>
        <v>0</v>
      </c>
      <c r="U642" s="167">
        <f t="shared" si="185"/>
        <v>0</v>
      </c>
      <c r="V642" s="167">
        <f t="shared" si="186"/>
        <v>0</v>
      </c>
    </row>
    <row r="643" spans="1:22" ht="20.100000000000001" customHeight="1">
      <c r="B643" s="182"/>
      <c r="C643" s="70"/>
      <c r="D643" s="37"/>
      <c r="E643" s="183"/>
      <c r="F643" s="183"/>
      <c r="G643" s="183"/>
      <c r="H643" s="183"/>
      <c r="I643" s="183"/>
      <c r="J643" s="183"/>
      <c r="K643" s="182"/>
      <c r="L643" s="70"/>
      <c r="M643" s="37"/>
      <c r="N643" s="183"/>
      <c r="O643" s="183"/>
      <c r="P643" s="183"/>
      <c r="Q643" s="101" t="b">
        <f t="shared" si="181"/>
        <v>1</v>
      </c>
      <c r="R643" s="101" t="b">
        <f t="shared" si="182"/>
        <v>1</v>
      </c>
      <c r="S643" s="101" t="b">
        <f t="shared" si="183"/>
        <v>1</v>
      </c>
      <c r="T643" s="167">
        <f t="shared" si="184"/>
        <v>0</v>
      </c>
      <c r="U643" s="167">
        <f t="shared" si="185"/>
        <v>0</v>
      </c>
      <c r="V643" s="167">
        <f t="shared" si="186"/>
        <v>0</v>
      </c>
    </row>
    <row r="644" spans="1:22" s="101" customFormat="1" ht="20.100000000000001" customHeight="1">
      <c r="A644" s="345"/>
      <c r="B644" s="232" t="s">
        <v>159</v>
      </c>
      <c r="C644" s="233" t="s">
        <v>224</v>
      </c>
      <c r="D644" s="233" t="s">
        <v>90</v>
      </c>
      <c r="E644" s="234">
        <f>E645+E651+E656+E661</f>
        <v>57935.22</v>
      </c>
      <c r="F644" s="234">
        <f>F645+F651+F656+F661</f>
        <v>56631.340000000004</v>
      </c>
      <c r="G644" s="234">
        <f>G645+G651+G656+G661</f>
        <v>56631.340000000004</v>
      </c>
      <c r="H644" s="234">
        <v>57935.22</v>
      </c>
      <c r="I644" s="234">
        <v>56631.340000000004</v>
      </c>
      <c r="J644" s="234">
        <v>56631.340000000004</v>
      </c>
      <c r="K644" s="232" t="s">
        <v>159</v>
      </c>
      <c r="L644" s="233" t="s">
        <v>224</v>
      </c>
      <c r="M644" s="233" t="s">
        <v>90</v>
      </c>
      <c r="N644" s="234">
        <v>56474.689999999995</v>
      </c>
      <c r="O644" s="234">
        <v>56474.689999999995</v>
      </c>
      <c r="P644" s="234">
        <v>56474.689999999995</v>
      </c>
      <c r="Q644" s="101" t="b">
        <f t="shared" si="181"/>
        <v>1</v>
      </c>
      <c r="R644" s="101" t="b">
        <f t="shared" si="182"/>
        <v>1</v>
      </c>
      <c r="S644" s="101" t="b">
        <f t="shared" si="183"/>
        <v>1</v>
      </c>
      <c r="T644" s="167">
        <f t="shared" si="184"/>
        <v>1460.5300000000061</v>
      </c>
      <c r="U644" s="167">
        <f t="shared" si="185"/>
        <v>156.65000000000873</v>
      </c>
      <c r="V644" s="167">
        <f t="shared" si="186"/>
        <v>156.65000000000873</v>
      </c>
    </row>
    <row r="645" spans="1:22" s="102" customFormat="1" ht="20.100000000000001" customHeight="1">
      <c r="A645" s="346"/>
      <c r="B645" s="241" t="s">
        <v>160</v>
      </c>
      <c r="C645" s="236" t="s">
        <v>227</v>
      </c>
      <c r="D645" s="236" t="s">
        <v>90</v>
      </c>
      <c r="E645" s="237">
        <f>E646+E649</f>
        <v>51161.48</v>
      </c>
      <c r="F645" s="237">
        <f t="shared" ref="F645:G645" si="188">F646+F649</f>
        <v>49857.600000000006</v>
      </c>
      <c r="G645" s="237">
        <f t="shared" si="188"/>
        <v>49857.600000000006</v>
      </c>
      <c r="H645" s="237">
        <v>51161.48</v>
      </c>
      <c r="I645" s="237">
        <v>49857.600000000006</v>
      </c>
      <c r="J645" s="237">
        <v>49857.600000000006</v>
      </c>
      <c r="K645" s="241" t="s">
        <v>160</v>
      </c>
      <c r="L645" s="236" t="s">
        <v>227</v>
      </c>
      <c r="M645" s="236" t="s">
        <v>90</v>
      </c>
      <c r="N645" s="237">
        <v>49700.95</v>
      </c>
      <c r="O645" s="237">
        <v>49700.95</v>
      </c>
      <c r="P645" s="237">
        <v>49700.95</v>
      </c>
      <c r="Q645" s="101" t="b">
        <f t="shared" si="181"/>
        <v>1</v>
      </c>
      <c r="R645" s="101" t="b">
        <f t="shared" si="182"/>
        <v>1</v>
      </c>
      <c r="S645" s="101" t="b">
        <f t="shared" si="183"/>
        <v>1</v>
      </c>
      <c r="T645" s="167">
        <f t="shared" si="184"/>
        <v>1460.5300000000061</v>
      </c>
      <c r="U645" s="167">
        <f t="shared" si="185"/>
        <v>156.65000000000873</v>
      </c>
      <c r="V645" s="167">
        <f t="shared" si="186"/>
        <v>156.65000000000873</v>
      </c>
    </row>
    <row r="646" spans="1:22" s="97" customFormat="1" ht="20.100000000000001" customHeight="1">
      <c r="A646" s="222"/>
      <c r="B646" s="175" t="s">
        <v>151</v>
      </c>
      <c r="C646" s="230" t="s">
        <v>228</v>
      </c>
      <c r="D646" s="239" t="s">
        <v>90</v>
      </c>
      <c r="E646" s="252">
        <f>E647+E648</f>
        <v>10322.86</v>
      </c>
      <c r="F646" s="252">
        <f>F647+F648</f>
        <v>9018.98</v>
      </c>
      <c r="G646" s="252">
        <f>G647+G648</f>
        <v>9018.98</v>
      </c>
      <c r="H646" s="252">
        <v>10322.86</v>
      </c>
      <c r="I646" s="252">
        <v>9018.98</v>
      </c>
      <c r="J646" s="252">
        <v>9018.98</v>
      </c>
      <c r="K646" s="175" t="s">
        <v>151</v>
      </c>
      <c r="L646" s="230" t="s">
        <v>228</v>
      </c>
      <c r="M646" s="239" t="s">
        <v>90</v>
      </c>
      <c r="N646" s="252">
        <v>9018.98</v>
      </c>
      <c r="O646" s="252">
        <v>9018.98</v>
      </c>
      <c r="P646" s="252">
        <v>9018.98</v>
      </c>
      <c r="Q646" s="101" t="b">
        <f t="shared" si="181"/>
        <v>1</v>
      </c>
      <c r="R646" s="101" t="b">
        <f t="shared" si="182"/>
        <v>1</v>
      </c>
      <c r="S646" s="101" t="b">
        <f t="shared" si="183"/>
        <v>1</v>
      </c>
      <c r="T646" s="167">
        <f t="shared" si="184"/>
        <v>1303.880000000001</v>
      </c>
      <c r="U646" s="167">
        <f t="shared" si="185"/>
        <v>0</v>
      </c>
      <c r="V646" s="167">
        <f t="shared" si="186"/>
        <v>0</v>
      </c>
    </row>
    <row r="647" spans="1:22" s="97" customFormat="1" ht="20.100000000000001" customHeight="1">
      <c r="A647" s="222"/>
      <c r="B647" s="180" t="s">
        <v>144</v>
      </c>
      <c r="C647" s="230" t="s">
        <v>228</v>
      </c>
      <c r="D647" s="239" t="s">
        <v>152</v>
      </c>
      <c r="E647" s="252">
        <f>'Вед-я стр-ра'!H11</f>
        <v>4816.28</v>
      </c>
      <c r="F647" s="252">
        <f>'Вед-я стр-ра'!I11</f>
        <v>4816.28</v>
      </c>
      <c r="G647" s="252">
        <f>'Вед-я стр-ра'!J11</f>
        <v>4816.28</v>
      </c>
      <c r="H647" s="252">
        <v>4816.28</v>
      </c>
      <c r="I647" s="252">
        <v>4816.28</v>
      </c>
      <c r="J647" s="252">
        <v>4816.28</v>
      </c>
      <c r="K647" s="180" t="s">
        <v>144</v>
      </c>
      <c r="L647" s="230" t="s">
        <v>228</v>
      </c>
      <c r="M647" s="239" t="s">
        <v>152</v>
      </c>
      <c r="N647" s="252">
        <v>4816.28</v>
      </c>
      <c r="O647" s="252">
        <v>4816.28</v>
      </c>
      <c r="P647" s="252">
        <v>4816.28</v>
      </c>
      <c r="Q647" s="101" t="b">
        <f t="shared" si="181"/>
        <v>1</v>
      </c>
      <c r="R647" s="101" t="b">
        <f t="shared" si="182"/>
        <v>1</v>
      </c>
      <c r="S647" s="101" t="b">
        <f t="shared" si="183"/>
        <v>1</v>
      </c>
      <c r="T647" s="167">
        <f t="shared" si="184"/>
        <v>0</v>
      </c>
      <c r="U647" s="167">
        <f t="shared" si="185"/>
        <v>0</v>
      </c>
      <c r="V647" s="167">
        <f t="shared" si="186"/>
        <v>0</v>
      </c>
    </row>
    <row r="648" spans="1:22" s="97" customFormat="1" ht="20.100000000000001" customHeight="1">
      <c r="A648" s="222"/>
      <c r="B648" s="180" t="s">
        <v>145</v>
      </c>
      <c r="C648" s="230" t="s">
        <v>228</v>
      </c>
      <c r="D648" s="239" t="s">
        <v>153</v>
      </c>
      <c r="E648" s="252">
        <f>'Вед-я стр-ра'!H12</f>
        <v>5506.58</v>
      </c>
      <c r="F648" s="252">
        <f>'Вед-я стр-ра'!I12</f>
        <v>4202.7</v>
      </c>
      <c r="G648" s="252">
        <f>'Вед-я стр-ра'!J12</f>
        <v>4202.7</v>
      </c>
      <c r="H648" s="252">
        <v>5506.58</v>
      </c>
      <c r="I648" s="252">
        <v>4202.7</v>
      </c>
      <c r="J648" s="252">
        <v>4202.7</v>
      </c>
      <c r="K648" s="180" t="s">
        <v>145</v>
      </c>
      <c r="L648" s="230" t="s">
        <v>228</v>
      </c>
      <c r="M648" s="239" t="s">
        <v>153</v>
      </c>
      <c r="N648" s="252">
        <v>4202.7</v>
      </c>
      <c r="O648" s="252">
        <v>4202.7</v>
      </c>
      <c r="P648" s="252">
        <v>4202.7</v>
      </c>
      <c r="Q648" s="101" t="b">
        <f t="shared" si="181"/>
        <v>1</v>
      </c>
      <c r="R648" s="101" t="b">
        <f t="shared" si="182"/>
        <v>1</v>
      </c>
      <c r="S648" s="101" t="b">
        <f t="shared" si="183"/>
        <v>1</v>
      </c>
      <c r="T648" s="167">
        <f t="shared" si="184"/>
        <v>1303.8800000000001</v>
      </c>
      <c r="U648" s="167">
        <f t="shared" si="185"/>
        <v>0</v>
      </c>
      <c r="V648" s="167">
        <f t="shared" si="186"/>
        <v>0</v>
      </c>
    </row>
    <row r="649" spans="1:22" s="97" customFormat="1" ht="20.100000000000001" customHeight="1">
      <c r="A649" s="222"/>
      <c r="B649" s="175" t="s">
        <v>161</v>
      </c>
      <c r="C649" s="230" t="s">
        <v>229</v>
      </c>
      <c r="D649" s="230" t="s">
        <v>90</v>
      </c>
      <c r="E649" s="252">
        <f>E650</f>
        <v>40838.620000000003</v>
      </c>
      <c r="F649" s="252">
        <f>F650</f>
        <v>40838.620000000003</v>
      </c>
      <c r="G649" s="252">
        <f>G650</f>
        <v>40838.620000000003</v>
      </c>
      <c r="H649" s="252">
        <v>40838.620000000003</v>
      </c>
      <c r="I649" s="252">
        <v>40838.620000000003</v>
      </c>
      <c r="J649" s="252">
        <v>40838.620000000003</v>
      </c>
      <c r="K649" s="175" t="s">
        <v>161</v>
      </c>
      <c r="L649" s="230" t="s">
        <v>229</v>
      </c>
      <c r="M649" s="230" t="s">
        <v>90</v>
      </c>
      <c r="N649" s="252">
        <v>40681.969999999994</v>
      </c>
      <c r="O649" s="252">
        <v>40681.969999999994</v>
      </c>
      <c r="P649" s="252">
        <v>40681.969999999994</v>
      </c>
      <c r="Q649" s="101" t="b">
        <f t="shared" si="181"/>
        <v>1</v>
      </c>
      <c r="R649" s="101" t="b">
        <f t="shared" si="182"/>
        <v>1</v>
      </c>
      <c r="S649" s="101" t="b">
        <f t="shared" si="183"/>
        <v>1</v>
      </c>
      <c r="T649" s="167">
        <f t="shared" si="184"/>
        <v>156.65000000000873</v>
      </c>
      <c r="U649" s="167">
        <f t="shared" si="185"/>
        <v>156.65000000000873</v>
      </c>
      <c r="V649" s="167">
        <f t="shared" si="186"/>
        <v>156.65000000000873</v>
      </c>
    </row>
    <row r="650" spans="1:22" s="97" customFormat="1" ht="20.100000000000001" customHeight="1">
      <c r="A650" s="222"/>
      <c r="B650" s="180" t="s">
        <v>144</v>
      </c>
      <c r="C650" s="230" t="s">
        <v>229</v>
      </c>
      <c r="D650" s="239" t="s">
        <v>152</v>
      </c>
      <c r="E650" s="252">
        <f>'Вед-я стр-ра'!H14</f>
        <v>40838.620000000003</v>
      </c>
      <c r="F650" s="252">
        <f>'Вед-я стр-ра'!I14</f>
        <v>40838.620000000003</v>
      </c>
      <c r="G650" s="252">
        <f>'Вед-я стр-ра'!J14</f>
        <v>40838.620000000003</v>
      </c>
      <c r="H650" s="252">
        <v>40838.620000000003</v>
      </c>
      <c r="I650" s="252">
        <v>40838.620000000003</v>
      </c>
      <c r="J650" s="252">
        <v>40838.620000000003</v>
      </c>
      <c r="K650" s="180" t="s">
        <v>144</v>
      </c>
      <c r="L650" s="230" t="s">
        <v>229</v>
      </c>
      <c r="M650" s="239" t="s">
        <v>152</v>
      </c>
      <c r="N650" s="252">
        <v>40681.969999999994</v>
      </c>
      <c r="O650" s="252">
        <v>40681.969999999994</v>
      </c>
      <c r="P650" s="252">
        <v>40681.969999999994</v>
      </c>
      <c r="Q650" s="101" t="b">
        <f t="shared" si="181"/>
        <v>1</v>
      </c>
      <c r="R650" s="101" t="b">
        <f t="shared" si="182"/>
        <v>1</v>
      </c>
      <c r="S650" s="101" t="b">
        <f t="shared" si="183"/>
        <v>1</v>
      </c>
      <c r="T650" s="167">
        <f t="shared" si="184"/>
        <v>156.65000000000873</v>
      </c>
      <c r="U650" s="167">
        <f t="shared" si="185"/>
        <v>156.65000000000873</v>
      </c>
      <c r="V650" s="167">
        <f t="shared" si="186"/>
        <v>156.65000000000873</v>
      </c>
    </row>
    <row r="651" spans="1:22" s="102" customFormat="1" ht="20.100000000000001" customHeight="1">
      <c r="A651" s="346"/>
      <c r="B651" s="241" t="s">
        <v>725</v>
      </c>
      <c r="C651" s="236" t="s">
        <v>225</v>
      </c>
      <c r="D651" s="236" t="s">
        <v>90</v>
      </c>
      <c r="E651" s="237">
        <f>E654+E652</f>
        <v>2080.5300000000002</v>
      </c>
      <c r="F651" s="237">
        <f>F654+F652</f>
        <v>2080.5300000000002</v>
      </c>
      <c r="G651" s="237">
        <f>G654+G652</f>
        <v>2080.5300000000002</v>
      </c>
      <c r="H651" s="237">
        <v>2080.5300000000002</v>
      </c>
      <c r="I651" s="237">
        <v>2080.5300000000002</v>
      </c>
      <c r="J651" s="237">
        <v>2080.5300000000002</v>
      </c>
      <c r="K651" s="241" t="s">
        <v>725</v>
      </c>
      <c r="L651" s="236" t="s">
        <v>225</v>
      </c>
      <c r="M651" s="236" t="s">
        <v>90</v>
      </c>
      <c r="N651" s="237">
        <v>2080.5300000000002</v>
      </c>
      <c r="O651" s="237">
        <v>2080.5300000000002</v>
      </c>
      <c r="P651" s="237">
        <v>2080.5300000000002</v>
      </c>
      <c r="Q651" s="101" t="b">
        <f t="shared" si="181"/>
        <v>1</v>
      </c>
      <c r="R651" s="101" t="b">
        <f t="shared" si="182"/>
        <v>1</v>
      </c>
      <c r="S651" s="101" t="b">
        <f t="shared" si="183"/>
        <v>1</v>
      </c>
      <c r="T651" s="167">
        <f t="shared" si="184"/>
        <v>0</v>
      </c>
      <c r="U651" s="167">
        <f t="shared" si="185"/>
        <v>0</v>
      </c>
      <c r="V651" s="167">
        <f t="shared" si="186"/>
        <v>0</v>
      </c>
    </row>
    <row r="652" spans="1:22" s="102" customFormat="1" ht="20.100000000000001" customHeight="1">
      <c r="A652" s="346"/>
      <c r="B652" s="175" t="s">
        <v>151</v>
      </c>
      <c r="C652" s="230" t="s">
        <v>540</v>
      </c>
      <c r="D652" s="230" t="s">
        <v>90</v>
      </c>
      <c r="E652" s="252">
        <f>E653</f>
        <v>41.55</v>
      </c>
      <c r="F652" s="252">
        <f>F653</f>
        <v>41.55</v>
      </c>
      <c r="G652" s="252">
        <f>G653</f>
        <v>41.55</v>
      </c>
      <c r="H652" s="252">
        <v>41.55</v>
      </c>
      <c r="I652" s="252">
        <v>41.55</v>
      </c>
      <c r="J652" s="252">
        <v>41.55</v>
      </c>
      <c r="K652" s="175" t="s">
        <v>151</v>
      </c>
      <c r="L652" s="230" t="s">
        <v>540</v>
      </c>
      <c r="M652" s="230" t="s">
        <v>90</v>
      </c>
      <c r="N652" s="252">
        <v>41.55</v>
      </c>
      <c r="O652" s="252">
        <v>41.55</v>
      </c>
      <c r="P652" s="252">
        <v>41.55</v>
      </c>
      <c r="Q652" s="101" t="b">
        <f t="shared" si="181"/>
        <v>1</v>
      </c>
      <c r="R652" s="101" t="b">
        <f t="shared" si="182"/>
        <v>1</v>
      </c>
      <c r="S652" s="101" t="b">
        <f t="shared" si="183"/>
        <v>1</v>
      </c>
      <c r="T652" s="167">
        <f t="shared" si="184"/>
        <v>0</v>
      </c>
      <c r="U652" s="167">
        <f t="shared" si="185"/>
        <v>0</v>
      </c>
      <c r="V652" s="167">
        <f t="shared" si="186"/>
        <v>0</v>
      </c>
    </row>
    <row r="653" spans="1:22" s="102" customFormat="1" ht="20.100000000000001" customHeight="1">
      <c r="A653" s="346"/>
      <c r="B653" s="180" t="s">
        <v>144</v>
      </c>
      <c r="C653" s="230" t="s">
        <v>540</v>
      </c>
      <c r="D653" s="239" t="s">
        <v>152</v>
      </c>
      <c r="E653" s="252">
        <f>'Вед-я стр-ра'!H17</f>
        <v>41.55</v>
      </c>
      <c r="F653" s="252">
        <f>'Вед-я стр-ра'!I17</f>
        <v>41.55</v>
      </c>
      <c r="G653" s="252">
        <f>'Вед-я стр-ра'!J17</f>
        <v>41.55</v>
      </c>
      <c r="H653" s="252">
        <v>41.55</v>
      </c>
      <c r="I653" s="252">
        <v>41.55</v>
      </c>
      <c r="J653" s="252">
        <v>41.55</v>
      </c>
      <c r="K653" s="180" t="s">
        <v>144</v>
      </c>
      <c r="L653" s="230" t="s">
        <v>540</v>
      </c>
      <c r="M653" s="239" t="s">
        <v>152</v>
      </c>
      <c r="N653" s="252">
        <v>41.55</v>
      </c>
      <c r="O653" s="252">
        <v>41.55</v>
      </c>
      <c r="P653" s="252">
        <v>41.55</v>
      </c>
      <c r="Q653" s="101" t="b">
        <f t="shared" si="181"/>
        <v>1</v>
      </c>
      <c r="R653" s="101" t="b">
        <f t="shared" si="182"/>
        <v>1</v>
      </c>
      <c r="S653" s="101" t="b">
        <f t="shared" si="183"/>
        <v>1</v>
      </c>
      <c r="T653" s="167">
        <f t="shared" si="184"/>
        <v>0</v>
      </c>
      <c r="U653" s="167">
        <f t="shared" si="185"/>
        <v>0</v>
      </c>
      <c r="V653" s="167">
        <f t="shared" si="186"/>
        <v>0</v>
      </c>
    </row>
    <row r="654" spans="1:22" s="97" customFormat="1" ht="20.100000000000001" customHeight="1">
      <c r="A654" s="222"/>
      <c r="B654" s="175" t="s">
        <v>161</v>
      </c>
      <c r="C654" s="230" t="s">
        <v>226</v>
      </c>
      <c r="D654" s="230" t="s">
        <v>90</v>
      </c>
      <c r="E654" s="252">
        <f>E655</f>
        <v>2038.98</v>
      </c>
      <c r="F654" s="252">
        <f>F655</f>
        <v>2038.98</v>
      </c>
      <c r="G654" s="252">
        <f>G655</f>
        <v>2038.98</v>
      </c>
      <c r="H654" s="252">
        <v>2038.98</v>
      </c>
      <c r="I654" s="252">
        <v>2038.98</v>
      </c>
      <c r="J654" s="252">
        <v>2038.98</v>
      </c>
      <c r="K654" s="175" t="s">
        <v>161</v>
      </c>
      <c r="L654" s="230" t="s">
        <v>226</v>
      </c>
      <c r="M654" s="230" t="s">
        <v>90</v>
      </c>
      <c r="N654" s="252">
        <v>2038.98</v>
      </c>
      <c r="O654" s="252">
        <v>2038.98</v>
      </c>
      <c r="P654" s="252">
        <v>2038.98</v>
      </c>
      <c r="Q654" s="101" t="b">
        <f t="shared" si="181"/>
        <v>1</v>
      </c>
      <c r="R654" s="101" t="b">
        <f t="shared" si="182"/>
        <v>1</v>
      </c>
      <c r="S654" s="101" t="b">
        <f t="shared" si="183"/>
        <v>1</v>
      </c>
      <c r="T654" s="167">
        <f t="shared" si="184"/>
        <v>0</v>
      </c>
      <c r="U654" s="167">
        <f t="shared" si="185"/>
        <v>0</v>
      </c>
      <c r="V654" s="167">
        <f t="shared" si="186"/>
        <v>0</v>
      </c>
    </row>
    <row r="655" spans="1:22" s="97" customFormat="1" ht="20.100000000000001" customHeight="1">
      <c r="A655" s="222"/>
      <c r="B655" s="180" t="s">
        <v>144</v>
      </c>
      <c r="C655" s="230" t="s">
        <v>226</v>
      </c>
      <c r="D655" s="239" t="s">
        <v>152</v>
      </c>
      <c r="E655" s="252">
        <f>'Вед-я стр-ра'!H19</f>
        <v>2038.98</v>
      </c>
      <c r="F655" s="252">
        <f>'Вед-я стр-ра'!I19</f>
        <v>2038.98</v>
      </c>
      <c r="G655" s="252">
        <f>'Вед-я стр-ра'!J19</f>
        <v>2038.98</v>
      </c>
      <c r="H655" s="252">
        <v>2038.98</v>
      </c>
      <c r="I655" s="252">
        <v>2038.98</v>
      </c>
      <c r="J655" s="252">
        <v>2038.98</v>
      </c>
      <c r="K655" s="180" t="s">
        <v>144</v>
      </c>
      <c r="L655" s="230" t="s">
        <v>226</v>
      </c>
      <c r="M655" s="239" t="s">
        <v>152</v>
      </c>
      <c r="N655" s="252">
        <v>2038.98</v>
      </c>
      <c r="O655" s="252">
        <v>2038.98</v>
      </c>
      <c r="P655" s="252">
        <v>2038.98</v>
      </c>
      <c r="Q655" s="101" t="b">
        <f t="shared" si="181"/>
        <v>1</v>
      </c>
      <c r="R655" s="101" t="b">
        <f t="shared" si="182"/>
        <v>1</v>
      </c>
      <c r="S655" s="101" t="b">
        <f t="shared" si="183"/>
        <v>1</v>
      </c>
      <c r="T655" s="167">
        <f t="shared" si="184"/>
        <v>0</v>
      </c>
      <c r="U655" s="167">
        <f t="shared" si="185"/>
        <v>0</v>
      </c>
      <c r="V655" s="167">
        <f t="shared" si="186"/>
        <v>0</v>
      </c>
    </row>
    <row r="656" spans="1:22" s="102" customFormat="1" ht="20.100000000000001" customHeight="1">
      <c r="A656" s="346"/>
      <c r="B656" s="241" t="s">
        <v>36</v>
      </c>
      <c r="C656" s="236" t="s">
        <v>230</v>
      </c>
      <c r="D656" s="236" t="s">
        <v>90</v>
      </c>
      <c r="E656" s="237">
        <f>E659+E657</f>
        <v>3602.7099999999996</v>
      </c>
      <c r="F656" s="237">
        <f>F659+F657</f>
        <v>3602.7099999999996</v>
      </c>
      <c r="G656" s="237">
        <f>G659+G657</f>
        <v>3602.7099999999996</v>
      </c>
      <c r="H656" s="237">
        <v>3602.7099999999996</v>
      </c>
      <c r="I656" s="237">
        <v>3602.7099999999996</v>
      </c>
      <c r="J656" s="237">
        <v>3602.7099999999996</v>
      </c>
      <c r="K656" s="241" t="s">
        <v>36</v>
      </c>
      <c r="L656" s="236" t="s">
        <v>230</v>
      </c>
      <c r="M656" s="236" t="s">
        <v>90</v>
      </c>
      <c r="N656" s="237">
        <v>3602.7099999999996</v>
      </c>
      <c r="O656" s="237">
        <v>3602.7099999999996</v>
      </c>
      <c r="P656" s="237">
        <v>3602.7099999999996</v>
      </c>
      <c r="Q656" s="101" t="b">
        <f t="shared" si="181"/>
        <v>1</v>
      </c>
      <c r="R656" s="101" t="b">
        <f t="shared" si="182"/>
        <v>1</v>
      </c>
      <c r="S656" s="101" t="b">
        <f t="shared" si="183"/>
        <v>1</v>
      </c>
      <c r="T656" s="167">
        <f t="shared" si="184"/>
        <v>0</v>
      </c>
      <c r="U656" s="167">
        <f t="shared" si="185"/>
        <v>0</v>
      </c>
      <c r="V656" s="167">
        <f t="shared" si="186"/>
        <v>0</v>
      </c>
    </row>
    <row r="657" spans="1:22" s="102" customFormat="1" ht="20.100000000000001" customHeight="1">
      <c r="A657" s="346"/>
      <c r="B657" s="175" t="s">
        <v>151</v>
      </c>
      <c r="C657" s="230" t="s">
        <v>553</v>
      </c>
      <c r="D657" s="230" t="s">
        <v>90</v>
      </c>
      <c r="E657" s="252">
        <f>E658</f>
        <v>83.1</v>
      </c>
      <c r="F657" s="252">
        <f>F658</f>
        <v>83.1</v>
      </c>
      <c r="G657" s="252">
        <f>G658</f>
        <v>83.1</v>
      </c>
      <c r="H657" s="252">
        <v>83.1</v>
      </c>
      <c r="I657" s="252">
        <v>83.1</v>
      </c>
      <c r="J657" s="252">
        <v>83.1</v>
      </c>
      <c r="K657" s="175" t="s">
        <v>151</v>
      </c>
      <c r="L657" s="230" t="s">
        <v>553</v>
      </c>
      <c r="M657" s="230" t="s">
        <v>90</v>
      </c>
      <c r="N657" s="252">
        <v>83.1</v>
      </c>
      <c r="O657" s="252">
        <v>83.1</v>
      </c>
      <c r="P657" s="252">
        <v>83.1</v>
      </c>
      <c r="Q657" s="101" t="b">
        <f t="shared" si="181"/>
        <v>1</v>
      </c>
      <c r="R657" s="101" t="b">
        <f t="shared" si="182"/>
        <v>1</v>
      </c>
      <c r="S657" s="101" t="b">
        <f t="shared" si="183"/>
        <v>1</v>
      </c>
      <c r="T657" s="167">
        <f t="shared" si="184"/>
        <v>0</v>
      </c>
      <c r="U657" s="167">
        <f t="shared" si="185"/>
        <v>0</v>
      </c>
      <c r="V657" s="167">
        <f t="shared" si="186"/>
        <v>0</v>
      </c>
    </row>
    <row r="658" spans="1:22" s="102" customFormat="1" ht="20.100000000000001" customHeight="1">
      <c r="A658" s="346"/>
      <c r="B658" s="180" t="s">
        <v>144</v>
      </c>
      <c r="C658" s="230" t="s">
        <v>553</v>
      </c>
      <c r="D658" s="239" t="s">
        <v>152</v>
      </c>
      <c r="E658" s="252">
        <f>'Вед-я стр-ра'!H22</f>
        <v>83.1</v>
      </c>
      <c r="F658" s="252">
        <f>'Вед-я стр-ра'!I22</f>
        <v>83.1</v>
      </c>
      <c r="G658" s="252">
        <f>'Вед-я стр-ра'!J22</f>
        <v>83.1</v>
      </c>
      <c r="H658" s="252">
        <v>83.1</v>
      </c>
      <c r="I658" s="252">
        <v>83.1</v>
      </c>
      <c r="J658" s="252">
        <v>83.1</v>
      </c>
      <c r="K658" s="180" t="s">
        <v>144</v>
      </c>
      <c r="L658" s="230" t="s">
        <v>553</v>
      </c>
      <c r="M658" s="239" t="s">
        <v>152</v>
      </c>
      <c r="N658" s="252">
        <v>83.1</v>
      </c>
      <c r="O658" s="252">
        <v>83.1</v>
      </c>
      <c r="P658" s="252">
        <v>83.1</v>
      </c>
      <c r="Q658" s="101" t="b">
        <f t="shared" si="181"/>
        <v>1</v>
      </c>
      <c r="R658" s="101" t="b">
        <f t="shared" si="182"/>
        <v>1</v>
      </c>
      <c r="S658" s="101" t="b">
        <f t="shared" si="183"/>
        <v>1</v>
      </c>
      <c r="T658" s="167">
        <f t="shared" si="184"/>
        <v>0</v>
      </c>
      <c r="U658" s="167">
        <f t="shared" si="185"/>
        <v>0</v>
      </c>
      <c r="V658" s="167">
        <f t="shared" si="186"/>
        <v>0</v>
      </c>
    </row>
    <row r="659" spans="1:22" s="97" customFormat="1" ht="20.100000000000001" customHeight="1">
      <c r="A659" s="222"/>
      <c r="B659" s="175" t="s">
        <v>161</v>
      </c>
      <c r="C659" s="230" t="s">
        <v>231</v>
      </c>
      <c r="D659" s="230" t="s">
        <v>90</v>
      </c>
      <c r="E659" s="252">
        <f>E660</f>
        <v>3519.6099999999997</v>
      </c>
      <c r="F659" s="252">
        <f>F660</f>
        <v>3519.6099999999997</v>
      </c>
      <c r="G659" s="252">
        <f>G660</f>
        <v>3519.6099999999997</v>
      </c>
      <c r="H659" s="252">
        <v>3519.6099999999997</v>
      </c>
      <c r="I659" s="252">
        <v>3519.6099999999997</v>
      </c>
      <c r="J659" s="252">
        <v>3519.6099999999997</v>
      </c>
      <c r="K659" s="175" t="s">
        <v>161</v>
      </c>
      <c r="L659" s="230" t="s">
        <v>231</v>
      </c>
      <c r="M659" s="230" t="s">
        <v>90</v>
      </c>
      <c r="N659" s="252">
        <v>3519.6099999999997</v>
      </c>
      <c r="O659" s="252">
        <v>3519.6099999999997</v>
      </c>
      <c r="P659" s="252">
        <v>3519.6099999999997</v>
      </c>
      <c r="Q659" s="101" t="b">
        <f t="shared" si="181"/>
        <v>1</v>
      </c>
      <c r="R659" s="101" t="b">
        <f t="shared" si="182"/>
        <v>1</v>
      </c>
      <c r="S659" s="101" t="b">
        <f t="shared" si="183"/>
        <v>1</v>
      </c>
      <c r="T659" s="167">
        <f t="shared" si="184"/>
        <v>0</v>
      </c>
      <c r="U659" s="167">
        <f t="shared" si="185"/>
        <v>0</v>
      </c>
      <c r="V659" s="167">
        <f t="shared" si="186"/>
        <v>0</v>
      </c>
    </row>
    <row r="660" spans="1:22" s="97" customFormat="1" ht="20.100000000000001" customHeight="1">
      <c r="A660" s="222"/>
      <c r="B660" s="180" t="s">
        <v>144</v>
      </c>
      <c r="C660" s="230" t="s">
        <v>231</v>
      </c>
      <c r="D660" s="239" t="s">
        <v>152</v>
      </c>
      <c r="E660" s="252">
        <f>'Вед-я стр-ра'!H24</f>
        <v>3519.6099999999997</v>
      </c>
      <c r="F660" s="252">
        <f>'Вед-я стр-ра'!I24</f>
        <v>3519.6099999999997</v>
      </c>
      <c r="G660" s="252">
        <f>'Вед-я стр-ра'!J24</f>
        <v>3519.6099999999997</v>
      </c>
      <c r="H660" s="252">
        <v>3519.6099999999997</v>
      </c>
      <c r="I660" s="252">
        <v>3519.6099999999997</v>
      </c>
      <c r="J660" s="252">
        <v>3519.6099999999997</v>
      </c>
      <c r="K660" s="180" t="s">
        <v>144</v>
      </c>
      <c r="L660" s="230" t="s">
        <v>231</v>
      </c>
      <c r="M660" s="239" t="s">
        <v>152</v>
      </c>
      <c r="N660" s="252">
        <v>3519.6099999999997</v>
      </c>
      <c r="O660" s="252">
        <v>3519.6099999999997</v>
      </c>
      <c r="P660" s="252">
        <v>3519.6099999999997</v>
      </c>
      <c r="Q660" s="101" t="b">
        <f t="shared" si="181"/>
        <v>1</v>
      </c>
      <c r="R660" s="101" t="b">
        <f t="shared" si="182"/>
        <v>1</v>
      </c>
      <c r="S660" s="101" t="b">
        <f t="shared" si="183"/>
        <v>1</v>
      </c>
      <c r="T660" s="167">
        <f t="shared" si="184"/>
        <v>0</v>
      </c>
      <c r="U660" s="167">
        <f t="shared" si="185"/>
        <v>0</v>
      </c>
      <c r="V660" s="167">
        <f t="shared" si="186"/>
        <v>0</v>
      </c>
    </row>
    <row r="661" spans="1:22" s="102" customFormat="1" ht="20.100000000000001" customHeight="1">
      <c r="A661" s="346"/>
      <c r="B661" s="241" t="s">
        <v>200</v>
      </c>
      <c r="C661" s="236" t="s">
        <v>232</v>
      </c>
      <c r="D661" s="236" t="s">
        <v>90</v>
      </c>
      <c r="E661" s="237">
        <f t="shared" ref="E661:G662" si="189">E662</f>
        <v>1090.5</v>
      </c>
      <c r="F661" s="237">
        <f t="shared" si="189"/>
        <v>1090.5</v>
      </c>
      <c r="G661" s="237">
        <f t="shared" si="189"/>
        <v>1090.5</v>
      </c>
      <c r="H661" s="237">
        <v>1090.5</v>
      </c>
      <c r="I661" s="237">
        <v>1090.5</v>
      </c>
      <c r="J661" s="237">
        <v>1090.5</v>
      </c>
      <c r="K661" s="241" t="s">
        <v>200</v>
      </c>
      <c r="L661" s="236" t="s">
        <v>232</v>
      </c>
      <c r="M661" s="236" t="s">
        <v>90</v>
      </c>
      <c r="N661" s="237">
        <v>1090.5</v>
      </c>
      <c r="O661" s="237">
        <v>1090.5</v>
      </c>
      <c r="P661" s="237">
        <v>1090.5</v>
      </c>
      <c r="Q661" s="101" t="b">
        <f t="shared" si="181"/>
        <v>1</v>
      </c>
      <c r="R661" s="101" t="b">
        <f t="shared" si="182"/>
        <v>1</v>
      </c>
      <c r="S661" s="101" t="b">
        <f t="shared" si="183"/>
        <v>1</v>
      </c>
      <c r="T661" s="167">
        <f t="shared" si="184"/>
        <v>0</v>
      </c>
      <c r="U661" s="167">
        <f t="shared" si="185"/>
        <v>0</v>
      </c>
      <c r="V661" s="167">
        <f t="shared" si="186"/>
        <v>0</v>
      </c>
    </row>
    <row r="662" spans="1:22" s="97" customFormat="1" ht="20.100000000000001" customHeight="1">
      <c r="A662" s="222"/>
      <c r="B662" s="180" t="s">
        <v>156</v>
      </c>
      <c r="C662" s="230" t="s">
        <v>775</v>
      </c>
      <c r="D662" s="230" t="s">
        <v>90</v>
      </c>
      <c r="E662" s="252">
        <f t="shared" si="189"/>
        <v>1090.5</v>
      </c>
      <c r="F662" s="252">
        <f t="shared" si="189"/>
        <v>1090.5</v>
      </c>
      <c r="G662" s="252">
        <f t="shared" si="189"/>
        <v>1090.5</v>
      </c>
      <c r="H662" s="252">
        <v>1090.5</v>
      </c>
      <c r="I662" s="252">
        <v>1090.5</v>
      </c>
      <c r="J662" s="252">
        <v>1090.5</v>
      </c>
      <c r="K662" s="180" t="s">
        <v>156</v>
      </c>
      <c r="L662" s="230" t="s">
        <v>775</v>
      </c>
      <c r="M662" s="230" t="s">
        <v>90</v>
      </c>
      <c r="N662" s="252">
        <v>1090.5</v>
      </c>
      <c r="O662" s="252">
        <v>1090.5</v>
      </c>
      <c r="P662" s="252">
        <v>1090.5</v>
      </c>
      <c r="Q662" s="101" t="b">
        <f t="shared" si="181"/>
        <v>1</v>
      </c>
      <c r="R662" s="101" t="b">
        <f t="shared" si="182"/>
        <v>1</v>
      </c>
      <c r="S662" s="101" t="b">
        <f t="shared" si="183"/>
        <v>1</v>
      </c>
      <c r="T662" s="167">
        <f t="shared" si="184"/>
        <v>0</v>
      </c>
      <c r="U662" s="167">
        <f t="shared" si="185"/>
        <v>0</v>
      </c>
      <c r="V662" s="167">
        <f t="shared" si="186"/>
        <v>0</v>
      </c>
    </row>
    <row r="663" spans="1:22" s="97" customFormat="1" ht="20.100000000000001" customHeight="1">
      <c r="A663" s="222"/>
      <c r="B663" s="180" t="s">
        <v>145</v>
      </c>
      <c r="C663" s="230" t="s">
        <v>775</v>
      </c>
      <c r="D663" s="239" t="s">
        <v>153</v>
      </c>
      <c r="E663" s="252">
        <f>'Вед-я стр-ра'!H35+'Вед-я стр-ра'!H30</f>
        <v>1090.5</v>
      </c>
      <c r="F663" s="252">
        <f>'Вед-я стр-ра'!I35+'Вед-я стр-ра'!I30</f>
        <v>1090.5</v>
      </c>
      <c r="G663" s="252">
        <f>'Вед-я стр-ра'!J35+'Вед-я стр-ра'!J30</f>
        <v>1090.5</v>
      </c>
      <c r="H663" s="252">
        <v>1090.5</v>
      </c>
      <c r="I663" s="252">
        <v>1090.5</v>
      </c>
      <c r="J663" s="252">
        <v>1090.5</v>
      </c>
      <c r="K663" s="180" t="s">
        <v>145</v>
      </c>
      <c r="L663" s="230" t="s">
        <v>775</v>
      </c>
      <c r="M663" s="239" t="s">
        <v>153</v>
      </c>
      <c r="N663" s="252">
        <v>1090.5</v>
      </c>
      <c r="O663" s="252">
        <v>1090.5</v>
      </c>
      <c r="P663" s="252">
        <v>1090.5</v>
      </c>
      <c r="Q663" s="101" t="b">
        <f t="shared" si="181"/>
        <v>1</v>
      </c>
      <c r="R663" s="101" t="b">
        <f t="shared" si="182"/>
        <v>1</v>
      </c>
      <c r="S663" s="101" t="b">
        <f t="shared" si="183"/>
        <v>1</v>
      </c>
      <c r="T663" s="167">
        <f t="shared" si="184"/>
        <v>0</v>
      </c>
      <c r="U663" s="167">
        <f t="shared" si="185"/>
        <v>0</v>
      </c>
      <c r="V663" s="167">
        <f t="shared" si="186"/>
        <v>0</v>
      </c>
    </row>
    <row r="664" spans="1:22" s="97" customFormat="1" ht="20.100000000000001" customHeight="1">
      <c r="A664" s="222"/>
      <c r="B664" s="104"/>
      <c r="C664" s="104"/>
      <c r="D664" s="104"/>
      <c r="E664" s="240"/>
      <c r="F664" s="240"/>
      <c r="G664" s="240"/>
      <c r="H664" s="529"/>
      <c r="I664" s="529"/>
      <c r="J664" s="529"/>
      <c r="K664" s="104"/>
      <c r="L664" s="104"/>
      <c r="M664" s="104"/>
      <c r="N664" s="240"/>
      <c r="O664" s="240"/>
      <c r="P664" s="240"/>
      <c r="Q664" s="101" t="b">
        <f t="shared" si="181"/>
        <v>1</v>
      </c>
      <c r="R664" s="101" t="b">
        <f t="shared" si="182"/>
        <v>1</v>
      </c>
      <c r="S664" s="101" t="b">
        <f t="shared" si="183"/>
        <v>1</v>
      </c>
      <c r="T664" s="167">
        <f t="shared" si="184"/>
        <v>0</v>
      </c>
      <c r="U664" s="167">
        <f t="shared" si="185"/>
        <v>0</v>
      </c>
      <c r="V664" s="167">
        <f t="shared" si="186"/>
        <v>0</v>
      </c>
    </row>
    <row r="665" spans="1:22" s="101" customFormat="1" ht="20.100000000000001" customHeight="1">
      <c r="A665" s="345"/>
      <c r="B665" s="232" t="s">
        <v>149</v>
      </c>
      <c r="C665" s="233" t="s">
        <v>233</v>
      </c>
      <c r="D665" s="233" t="s">
        <v>90</v>
      </c>
      <c r="E665" s="234">
        <f>E666+E682</f>
        <v>181539.29</v>
      </c>
      <c r="F665" s="234">
        <f>F666+F682</f>
        <v>181827.32</v>
      </c>
      <c r="G665" s="234">
        <f>G666+G682</f>
        <v>182126.87000000002</v>
      </c>
      <c r="H665" s="234">
        <v>181539.29</v>
      </c>
      <c r="I665" s="234">
        <v>181827.32</v>
      </c>
      <c r="J665" s="234">
        <v>182126.87000000002</v>
      </c>
      <c r="K665" s="232" t="s">
        <v>149</v>
      </c>
      <c r="L665" s="233" t="s">
        <v>233</v>
      </c>
      <c r="M665" s="233" t="s">
        <v>90</v>
      </c>
      <c r="N665" s="234">
        <v>180608.49</v>
      </c>
      <c r="O665" s="234">
        <v>180896.52</v>
      </c>
      <c r="P665" s="234">
        <v>181196.07</v>
      </c>
      <c r="Q665" s="101" t="b">
        <f t="shared" si="181"/>
        <v>1</v>
      </c>
      <c r="R665" s="101" t="b">
        <f t="shared" si="182"/>
        <v>1</v>
      </c>
      <c r="S665" s="101" t="b">
        <f t="shared" si="183"/>
        <v>1</v>
      </c>
      <c r="T665" s="167">
        <f t="shared" si="184"/>
        <v>930.80000000001746</v>
      </c>
      <c r="U665" s="167">
        <f t="shared" si="185"/>
        <v>930.80000000001746</v>
      </c>
      <c r="V665" s="167">
        <f t="shared" si="186"/>
        <v>930.80000000001746</v>
      </c>
    </row>
    <row r="666" spans="1:22" s="102" customFormat="1" ht="20.100000000000001" customHeight="1">
      <c r="A666" s="346"/>
      <c r="B666" s="241" t="s">
        <v>150</v>
      </c>
      <c r="C666" s="236" t="s">
        <v>234</v>
      </c>
      <c r="D666" s="236" t="s">
        <v>90</v>
      </c>
      <c r="E666" s="237">
        <f>E667+E671+E673+E677+E680</f>
        <v>179275.2</v>
      </c>
      <c r="F666" s="237">
        <f t="shared" ref="F666:G666" si="190">F667+F671+F673+F677+F680</f>
        <v>179563.23</v>
      </c>
      <c r="G666" s="237">
        <f t="shared" si="190"/>
        <v>179862.78000000003</v>
      </c>
      <c r="H666" s="237">
        <v>179275.2</v>
      </c>
      <c r="I666" s="237">
        <v>179563.23</v>
      </c>
      <c r="J666" s="237">
        <v>179862.78000000003</v>
      </c>
      <c r="K666" s="241" t="s">
        <v>150</v>
      </c>
      <c r="L666" s="236" t="s">
        <v>234</v>
      </c>
      <c r="M666" s="236" t="s">
        <v>90</v>
      </c>
      <c r="N666" s="237">
        <v>178344.4</v>
      </c>
      <c r="O666" s="237">
        <v>178632.43</v>
      </c>
      <c r="P666" s="237">
        <v>178931.98</v>
      </c>
      <c r="Q666" s="101" t="b">
        <f t="shared" si="181"/>
        <v>1</v>
      </c>
      <c r="R666" s="101" t="b">
        <f t="shared" si="182"/>
        <v>1</v>
      </c>
      <c r="S666" s="101" t="b">
        <f t="shared" si="183"/>
        <v>1</v>
      </c>
      <c r="T666" s="167">
        <f t="shared" si="184"/>
        <v>930.80000000001746</v>
      </c>
      <c r="U666" s="167">
        <f t="shared" si="185"/>
        <v>930.80000000001746</v>
      </c>
      <c r="V666" s="167">
        <f t="shared" si="186"/>
        <v>930.80000000001746</v>
      </c>
    </row>
    <row r="667" spans="1:22" s="97" customFormat="1" ht="20.100000000000001" customHeight="1">
      <c r="A667" s="222"/>
      <c r="B667" s="175" t="s">
        <v>151</v>
      </c>
      <c r="C667" s="230" t="s">
        <v>235</v>
      </c>
      <c r="D667" s="230" t="s">
        <v>90</v>
      </c>
      <c r="E667" s="252">
        <f>SUM(E668:E670)</f>
        <v>11737.509999999998</v>
      </c>
      <c r="F667" s="252">
        <f>SUM(F668:F670)</f>
        <v>11737.509999999998</v>
      </c>
      <c r="G667" s="252">
        <f>SUM(G668:G670)</f>
        <v>11737.509999999998</v>
      </c>
      <c r="H667" s="252">
        <v>11737.509999999998</v>
      </c>
      <c r="I667" s="252">
        <v>11737.509999999998</v>
      </c>
      <c r="J667" s="252">
        <v>11737.509999999998</v>
      </c>
      <c r="K667" s="175" t="s">
        <v>151</v>
      </c>
      <c r="L667" s="230" t="s">
        <v>235</v>
      </c>
      <c r="M667" s="230" t="s">
        <v>90</v>
      </c>
      <c r="N667" s="252">
        <v>11737.509999999998</v>
      </c>
      <c r="O667" s="252">
        <v>11737.509999999998</v>
      </c>
      <c r="P667" s="252">
        <v>11737.509999999998</v>
      </c>
      <c r="Q667" s="101" t="b">
        <f t="shared" si="181"/>
        <v>1</v>
      </c>
      <c r="R667" s="101" t="b">
        <f t="shared" si="182"/>
        <v>1</v>
      </c>
      <c r="S667" s="101" t="b">
        <f t="shared" si="183"/>
        <v>1</v>
      </c>
      <c r="T667" s="167">
        <f t="shared" si="184"/>
        <v>0</v>
      </c>
      <c r="U667" s="167">
        <f t="shared" si="185"/>
        <v>0</v>
      </c>
      <c r="V667" s="167">
        <f t="shared" si="186"/>
        <v>0</v>
      </c>
    </row>
    <row r="668" spans="1:22" s="97" customFormat="1" ht="20.100000000000001" customHeight="1">
      <c r="A668" s="222"/>
      <c r="B668" s="180" t="s">
        <v>144</v>
      </c>
      <c r="C668" s="230" t="s">
        <v>235</v>
      </c>
      <c r="D668" s="230">
        <v>120</v>
      </c>
      <c r="E668" s="252">
        <f>'Вед-я стр-ра'!H50</f>
        <v>4068.6499999999996</v>
      </c>
      <c r="F668" s="252">
        <f>'Вед-я стр-ра'!I50</f>
        <v>4068.6499999999996</v>
      </c>
      <c r="G668" s="252">
        <f>'Вед-я стр-ра'!J50</f>
        <v>4068.6499999999996</v>
      </c>
      <c r="H668" s="252">
        <v>4068.6499999999996</v>
      </c>
      <c r="I668" s="252">
        <v>4068.6499999999996</v>
      </c>
      <c r="J668" s="252">
        <v>4068.6499999999996</v>
      </c>
      <c r="K668" s="180" t="s">
        <v>144</v>
      </c>
      <c r="L668" s="230" t="s">
        <v>235</v>
      </c>
      <c r="M668" s="230">
        <v>120</v>
      </c>
      <c r="N668" s="252">
        <v>4068.6499999999996</v>
      </c>
      <c r="O668" s="252">
        <v>4068.6499999999996</v>
      </c>
      <c r="P668" s="252">
        <v>4068.6499999999996</v>
      </c>
      <c r="Q668" s="101" t="b">
        <f t="shared" si="181"/>
        <v>1</v>
      </c>
      <c r="R668" s="101" t="b">
        <f t="shared" si="182"/>
        <v>1</v>
      </c>
      <c r="S668" s="101" t="b">
        <f t="shared" si="183"/>
        <v>1</v>
      </c>
      <c r="T668" s="167">
        <f t="shared" si="184"/>
        <v>0</v>
      </c>
      <c r="U668" s="167">
        <f t="shared" si="185"/>
        <v>0</v>
      </c>
      <c r="V668" s="167">
        <f t="shared" si="186"/>
        <v>0</v>
      </c>
    </row>
    <row r="669" spans="1:22" s="97" customFormat="1" ht="20.100000000000001" customHeight="1">
      <c r="A669" s="222"/>
      <c r="B669" s="178" t="s">
        <v>145</v>
      </c>
      <c r="C669" s="230" t="s">
        <v>235</v>
      </c>
      <c r="D669" s="230">
        <v>240</v>
      </c>
      <c r="E669" s="252">
        <f>'Вед-я стр-ра'!H51</f>
        <v>7644.86</v>
      </c>
      <c r="F669" s="252">
        <f>'Вед-я стр-ра'!I51</f>
        <v>7644.86</v>
      </c>
      <c r="G669" s="252">
        <f>'Вед-я стр-ра'!J51</f>
        <v>7644.86</v>
      </c>
      <c r="H669" s="252">
        <v>7644.86</v>
      </c>
      <c r="I669" s="252">
        <v>7644.86</v>
      </c>
      <c r="J669" s="252">
        <v>7644.86</v>
      </c>
      <c r="K669" s="178" t="s">
        <v>145</v>
      </c>
      <c r="L669" s="230" t="s">
        <v>235</v>
      </c>
      <c r="M669" s="230">
        <v>240</v>
      </c>
      <c r="N669" s="252">
        <v>7644.86</v>
      </c>
      <c r="O669" s="252">
        <v>7644.86</v>
      </c>
      <c r="P669" s="252">
        <v>7644.86</v>
      </c>
      <c r="Q669" s="101" t="b">
        <f t="shared" si="181"/>
        <v>1</v>
      </c>
      <c r="R669" s="101" t="b">
        <f t="shared" si="182"/>
        <v>1</v>
      </c>
      <c r="S669" s="101" t="b">
        <f t="shared" si="183"/>
        <v>1</v>
      </c>
      <c r="T669" s="167">
        <f t="shared" si="184"/>
        <v>0</v>
      </c>
      <c r="U669" s="167">
        <f t="shared" si="185"/>
        <v>0</v>
      </c>
      <c r="V669" s="167">
        <f t="shared" si="186"/>
        <v>0</v>
      </c>
    </row>
    <row r="670" spans="1:22" s="97" customFormat="1" ht="20.100000000000001" customHeight="1">
      <c r="A670" s="222"/>
      <c r="B670" s="178" t="s">
        <v>137</v>
      </c>
      <c r="C670" s="230" t="s">
        <v>235</v>
      </c>
      <c r="D670" s="230">
        <v>850</v>
      </c>
      <c r="E670" s="252">
        <f>'Вед-я стр-ра'!H52</f>
        <v>24</v>
      </c>
      <c r="F670" s="252">
        <f>'Вед-я стр-ра'!I52</f>
        <v>24</v>
      </c>
      <c r="G670" s="252">
        <f>'Вед-я стр-ра'!J52</f>
        <v>24</v>
      </c>
      <c r="H670" s="252">
        <v>24</v>
      </c>
      <c r="I670" s="252">
        <v>24</v>
      </c>
      <c r="J670" s="252">
        <v>24</v>
      </c>
      <c r="K670" s="178" t="s">
        <v>137</v>
      </c>
      <c r="L670" s="230" t="s">
        <v>235</v>
      </c>
      <c r="M670" s="230">
        <v>850</v>
      </c>
      <c r="N670" s="252">
        <v>24</v>
      </c>
      <c r="O670" s="252">
        <v>24</v>
      </c>
      <c r="P670" s="252">
        <v>24</v>
      </c>
      <c r="Q670" s="101" t="b">
        <f t="shared" si="181"/>
        <v>1</v>
      </c>
      <c r="R670" s="101" t="b">
        <f t="shared" si="182"/>
        <v>1</v>
      </c>
      <c r="S670" s="101" t="b">
        <f t="shared" si="183"/>
        <v>1</v>
      </c>
      <c r="T670" s="167">
        <f t="shared" si="184"/>
        <v>0</v>
      </c>
      <c r="U670" s="167">
        <f t="shared" si="185"/>
        <v>0</v>
      </c>
      <c r="V670" s="167">
        <f t="shared" si="186"/>
        <v>0</v>
      </c>
    </row>
    <row r="671" spans="1:22" s="97" customFormat="1" ht="20.100000000000001" customHeight="1">
      <c r="A671" s="222"/>
      <c r="B671" s="175" t="s">
        <v>161</v>
      </c>
      <c r="C671" s="230" t="s">
        <v>236</v>
      </c>
      <c r="D671" s="230" t="s">
        <v>90</v>
      </c>
      <c r="E671" s="252">
        <f>E672</f>
        <v>121518.51000000001</v>
      </c>
      <c r="F671" s="252">
        <f>F672</f>
        <v>121518.51000000001</v>
      </c>
      <c r="G671" s="252">
        <f>G672</f>
        <v>121518.51000000001</v>
      </c>
      <c r="H671" s="252">
        <v>121518.51000000001</v>
      </c>
      <c r="I671" s="252">
        <v>121518.51000000001</v>
      </c>
      <c r="J671" s="252">
        <v>121518.51000000001</v>
      </c>
      <c r="K671" s="175" t="s">
        <v>161</v>
      </c>
      <c r="L671" s="230" t="s">
        <v>236</v>
      </c>
      <c r="M671" s="230" t="s">
        <v>90</v>
      </c>
      <c r="N671" s="252">
        <v>121510.21</v>
      </c>
      <c r="O671" s="252">
        <v>121510.21</v>
      </c>
      <c r="P671" s="252">
        <v>121510.21</v>
      </c>
      <c r="Q671" s="101" t="b">
        <f t="shared" si="181"/>
        <v>1</v>
      </c>
      <c r="R671" s="101" t="b">
        <f t="shared" si="182"/>
        <v>1</v>
      </c>
      <c r="S671" s="101" t="b">
        <f t="shared" si="183"/>
        <v>1</v>
      </c>
      <c r="T671" s="167">
        <f t="shared" si="184"/>
        <v>8.3000000000029104</v>
      </c>
      <c r="U671" s="167">
        <f t="shared" si="185"/>
        <v>8.3000000000029104</v>
      </c>
      <c r="V671" s="167">
        <f t="shared" si="186"/>
        <v>8.3000000000029104</v>
      </c>
    </row>
    <row r="672" spans="1:22" s="97" customFormat="1" ht="20.100000000000001" customHeight="1">
      <c r="A672" s="222"/>
      <c r="B672" s="178" t="s">
        <v>144</v>
      </c>
      <c r="C672" s="230" t="s">
        <v>236</v>
      </c>
      <c r="D672" s="230" t="s">
        <v>152</v>
      </c>
      <c r="E672" s="252">
        <f>'Вед-я стр-ра'!H54</f>
        <v>121518.51000000001</v>
      </c>
      <c r="F672" s="252">
        <f>'Вед-я стр-ра'!I54</f>
        <v>121518.51000000001</v>
      </c>
      <c r="G672" s="252">
        <f>'Вед-я стр-ра'!J54</f>
        <v>121518.51000000001</v>
      </c>
      <c r="H672" s="252">
        <v>121518.51000000001</v>
      </c>
      <c r="I672" s="252">
        <v>121518.51000000001</v>
      </c>
      <c r="J672" s="252">
        <v>121518.51000000001</v>
      </c>
      <c r="K672" s="178" t="s">
        <v>144</v>
      </c>
      <c r="L672" s="230" t="s">
        <v>236</v>
      </c>
      <c r="M672" s="230" t="s">
        <v>152</v>
      </c>
      <c r="N672" s="252">
        <v>121510.21</v>
      </c>
      <c r="O672" s="252">
        <v>121510.21</v>
      </c>
      <c r="P672" s="252">
        <v>121510.21</v>
      </c>
      <c r="Q672" s="101" t="b">
        <f t="shared" si="181"/>
        <v>1</v>
      </c>
      <c r="R672" s="101" t="b">
        <f t="shared" si="182"/>
        <v>1</v>
      </c>
      <c r="S672" s="101" t="b">
        <f t="shared" si="183"/>
        <v>1</v>
      </c>
      <c r="T672" s="167">
        <f t="shared" si="184"/>
        <v>8.3000000000029104</v>
      </c>
      <c r="U672" s="167">
        <f t="shared" si="185"/>
        <v>8.3000000000029104</v>
      </c>
      <c r="V672" s="167">
        <f t="shared" si="186"/>
        <v>8.3000000000029104</v>
      </c>
    </row>
    <row r="673" spans="1:22" s="97" customFormat="1" ht="20.100000000000001" customHeight="1">
      <c r="A673" s="222"/>
      <c r="B673" s="175" t="s">
        <v>254</v>
      </c>
      <c r="C673" s="230" t="s">
        <v>266</v>
      </c>
      <c r="D673" s="230" t="s">
        <v>90</v>
      </c>
      <c r="E673" s="252">
        <f>E674+E675+E676</f>
        <v>44623.15</v>
      </c>
      <c r="F673" s="252">
        <f>F674+F675+F676</f>
        <v>44911.18</v>
      </c>
      <c r="G673" s="252">
        <f>G674+G675+G676</f>
        <v>45210.73</v>
      </c>
      <c r="H673" s="252">
        <v>44623.15</v>
      </c>
      <c r="I673" s="252">
        <v>44911.18</v>
      </c>
      <c r="J673" s="252">
        <v>45210.73</v>
      </c>
      <c r="K673" s="175" t="s">
        <v>254</v>
      </c>
      <c r="L673" s="230" t="s">
        <v>266</v>
      </c>
      <c r="M673" s="230" t="s">
        <v>90</v>
      </c>
      <c r="N673" s="252">
        <v>43700.65</v>
      </c>
      <c r="O673" s="252">
        <v>43988.68</v>
      </c>
      <c r="P673" s="252">
        <v>44288.23</v>
      </c>
      <c r="Q673" s="101" t="b">
        <f t="shared" si="181"/>
        <v>1</v>
      </c>
      <c r="R673" s="101" t="b">
        <f t="shared" si="182"/>
        <v>1</v>
      </c>
      <c r="S673" s="101" t="b">
        <f t="shared" si="183"/>
        <v>1</v>
      </c>
      <c r="T673" s="167">
        <f t="shared" si="184"/>
        <v>922.5</v>
      </c>
      <c r="U673" s="167">
        <f t="shared" si="185"/>
        <v>922.5</v>
      </c>
      <c r="V673" s="167">
        <f t="shared" si="186"/>
        <v>922.5</v>
      </c>
    </row>
    <row r="674" spans="1:22" s="97" customFormat="1" ht="20.100000000000001" customHeight="1">
      <c r="A674" s="222"/>
      <c r="B674" s="178" t="s">
        <v>143</v>
      </c>
      <c r="C674" s="230" t="s">
        <v>266</v>
      </c>
      <c r="D674" s="239" t="s">
        <v>157</v>
      </c>
      <c r="E674" s="252">
        <f>'Вед-я стр-ра'!H117</f>
        <v>21767.39</v>
      </c>
      <c r="F674" s="252">
        <f>'Вед-я стр-ра'!I117</f>
        <v>21767.39</v>
      </c>
      <c r="G674" s="252">
        <f>'Вед-я стр-ра'!J117</f>
        <v>21767.39</v>
      </c>
      <c r="H674" s="252">
        <v>21767.39</v>
      </c>
      <c r="I674" s="252">
        <v>21767.39</v>
      </c>
      <c r="J674" s="252">
        <v>21767.39</v>
      </c>
      <c r="K674" s="178" t="s">
        <v>143</v>
      </c>
      <c r="L674" s="230" t="s">
        <v>266</v>
      </c>
      <c r="M674" s="239" t="s">
        <v>157</v>
      </c>
      <c r="N674" s="252">
        <v>20844.89</v>
      </c>
      <c r="O674" s="252">
        <v>20844.89</v>
      </c>
      <c r="P674" s="252">
        <v>20844.89</v>
      </c>
      <c r="Q674" s="101" t="b">
        <f t="shared" si="181"/>
        <v>1</v>
      </c>
      <c r="R674" s="101" t="b">
        <f t="shared" si="182"/>
        <v>1</v>
      </c>
      <c r="S674" s="101" t="b">
        <f t="shared" si="183"/>
        <v>1</v>
      </c>
      <c r="T674" s="167">
        <f t="shared" si="184"/>
        <v>922.5</v>
      </c>
      <c r="U674" s="167">
        <f t="shared" si="185"/>
        <v>922.5</v>
      </c>
      <c r="V674" s="167">
        <f t="shared" si="186"/>
        <v>922.5</v>
      </c>
    </row>
    <row r="675" spans="1:22" s="97" customFormat="1" ht="20.100000000000001" customHeight="1">
      <c r="A675" s="222"/>
      <c r="B675" s="178" t="s">
        <v>145</v>
      </c>
      <c r="C675" s="230" t="s">
        <v>266</v>
      </c>
      <c r="D675" s="239" t="s">
        <v>153</v>
      </c>
      <c r="E675" s="252">
        <f>'Вед-я стр-ра'!H118</f>
        <v>22689.41</v>
      </c>
      <c r="F675" s="252">
        <f>'Вед-я стр-ра'!I118</f>
        <v>22977.439999999999</v>
      </c>
      <c r="G675" s="252">
        <f>'Вед-я стр-ра'!J118</f>
        <v>23276.99</v>
      </c>
      <c r="H675" s="252">
        <v>22689.41</v>
      </c>
      <c r="I675" s="252">
        <v>22977.439999999999</v>
      </c>
      <c r="J675" s="252">
        <v>23276.99</v>
      </c>
      <c r="K675" s="178" t="s">
        <v>145</v>
      </c>
      <c r="L675" s="230" t="s">
        <v>266</v>
      </c>
      <c r="M675" s="239" t="s">
        <v>153</v>
      </c>
      <c r="N675" s="252">
        <v>22689.41</v>
      </c>
      <c r="O675" s="252">
        <v>22977.439999999999</v>
      </c>
      <c r="P675" s="252">
        <v>23276.99</v>
      </c>
      <c r="Q675" s="101" t="b">
        <f t="shared" si="181"/>
        <v>1</v>
      </c>
      <c r="R675" s="101" t="b">
        <f t="shared" si="182"/>
        <v>1</v>
      </c>
      <c r="S675" s="101" t="b">
        <f t="shared" si="183"/>
        <v>1</v>
      </c>
      <c r="T675" s="167">
        <f t="shared" si="184"/>
        <v>0</v>
      </c>
      <c r="U675" s="167">
        <f t="shared" si="185"/>
        <v>0</v>
      </c>
      <c r="V675" s="167">
        <f t="shared" si="186"/>
        <v>0</v>
      </c>
    </row>
    <row r="676" spans="1:22" s="97" customFormat="1" ht="20.100000000000001" customHeight="1">
      <c r="A676" s="222"/>
      <c r="B676" s="178" t="s">
        <v>137</v>
      </c>
      <c r="C676" s="230" t="s">
        <v>266</v>
      </c>
      <c r="D676" s="239" t="s">
        <v>155</v>
      </c>
      <c r="E676" s="252">
        <f>'Вед-я стр-ра'!H119</f>
        <v>166.35</v>
      </c>
      <c r="F676" s="252">
        <f>'Вед-я стр-ра'!I119</f>
        <v>166.35</v>
      </c>
      <c r="G676" s="252">
        <f>'Вед-я стр-ра'!J119</f>
        <v>166.35</v>
      </c>
      <c r="H676" s="252">
        <v>166.35</v>
      </c>
      <c r="I676" s="252">
        <v>166.35</v>
      </c>
      <c r="J676" s="252">
        <v>166.35</v>
      </c>
      <c r="K676" s="178" t="s">
        <v>137</v>
      </c>
      <c r="L676" s="230" t="s">
        <v>266</v>
      </c>
      <c r="M676" s="239" t="s">
        <v>155</v>
      </c>
      <c r="N676" s="252">
        <v>166.35</v>
      </c>
      <c r="O676" s="252">
        <v>166.35</v>
      </c>
      <c r="P676" s="252">
        <v>166.35</v>
      </c>
      <c r="Q676" s="101" t="b">
        <f t="shared" si="181"/>
        <v>1</v>
      </c>
      <c r="R676" s="101" t="b">
        <f t="shared" si="182"/>
        <v>1</v>
      </c>
      <c r="S676" s="101" t="b">
        <f t="shared" si="183"/>
        <v>1</v>
      </c>
      <c r="T676" s="167">
        <f t="shared" si="184"/>
        <v>0</v>
      </c>
      <c r="U676" s="167">
        <f t="shared" si="185"/>
        <v>0</v>
      </c>
      <c r="V676" s="167">
        <f t="shared" si="186"/>
        <v>0</v>
      </c>
    </row>
    <row r="677" spans="1:22" s="97" customFormat="1" ht="20.100000000000001" customHeight="1">
      <c r="A677" s="222" t="s">
        <v>799</v>
      </c>
      <c r="B677" s="54" t="s">
        <v>1266</v>
      </c>
      <c r="C677" s="239" t="s">
        <v>237</v>
      </c>
      <c r="D677" s="239" t="s">
        <v>90</v>
      </c>
      <c r="E677" s="252">
        <f>E678+E679</f>
        <v>1387.03</v>
      </c>
      <c r="F677" s="252">
        <f>F678+F679</f>
        <v>1387.03</v>
      </c>
      <c r="G677" s="252">
        <f>G678+G679</f>
        <v>1387.03</v>
      </c>
      <c r="H677" s="252">
        <v>1387.03</v>
      </c>
      <c r="I677" s="252">
        <v>1387.03</v>
      </c>
      <c r="J677" s="252">
        <v>1387.03</v>
      </c>
      <c r="K677" s="182" t="s">
        <v>845</v>
      </c>
      <c r="L677" s="239" t="s">
        <v>237</v>
      </c>
      <c r="M677" s="239" t="s">
        <v>90</v>
      </c>
      <c r="N677" s="252">
        <v>1387.03</v>
      </c>
      <c r="O677" s="252">
        <v>1387.03</v>
      </c>
      <c r="P677" s="252">
        <v>1387.03</v>
      </c>
      <c r="Q677" s="101" t="b">
        <f t="shared" si="181"/>
        <v>0</v>
      </c>
      <c r="R677" s="101" t="b">
        <f t="shared" si="182"/>
        <v>1</v>
      </c>
      <c r="S677" s="101" t="b">
        <f t="shared" si="183"/>
        <v>1</v>
      </c>
      <c r="T677" s="167">
        <f t="shared" si="184"/>
        <v>0</v>
      </c>
      <c r="U677" s="167">
        <f t="shared" si="185"/>
        <v>0</v>
      </c>
      <c r="V677" s="167">
        <f t="shared" si="186"/>
        <v>0</v>
      </c>
    </row>
    <row r="678" spans="1:22" s="97" customFormat="1" ht="20.100000000000001" customHeight="1">
      <c r="A678" s="222"/>
      <c r="B678" s="180" t="s">
        <v>144</v>
      </c>
      <c r="C678" s="239" t="s">
        <v>237</v>
      </c>
      <c r="D678" s="239" t="s">
        <v>152</v>
      </c>
      <c r="E678" s="252">
        <f>'Вед-я стр-ра'!H56</f>
        <v>1097.3399999999999</v>
      </c>
      <c r="F678" s="252">
        <f>'Вед-я стр-ра'!I56</f>
        <v>1097.3399999999999</v>
      </c>
      <c r="G678" s="252">
        <f>'Вед-я стр-ра'!J56</f>
        <v>1097.3399999999999</v>
      </c>
      <c r="H678" s="252">
        <v>1097.3399999999999</v>
      </c>
      <c r="I678" s="252">
        <v>1097.3399999999999</v>
      </c>
      <c r="J678" s="252">
        <v>1097.3399999999999</v>
      </c>
      <c r="K678" s="180" t="s">
        <v>144</v>
      </c>
      <c r="L678" s="239" t="s">
        <v>237</v>
      </c>
      <c r="M678" s="239" t="s">
        <v>152</v>
      </c>
      <c r="N678" s="252">
        <v>1097.3399999999999</v>
      </c>
      <c r="O678" s="252">
        <v>1097.3399999999999</v>
      </c>
      <c r="P678" s="252">
        <v>1097.3399999999999</v>
      </c>
      <c r="Q678" s="101" t="b">
        <f t="shared" si="181"/>
        <v>1</v>
      </c>
      <c r="R678" s="101" t="b">
        <f t="shared" si="182"/>
        <v>1</v>
      </c>
      <c r="S678" s="101" t="b">
        <f t="shared" si="183"/>
        <v>1</v>
      </c>
      <c r="T678" s="167">
        <f t="shared" si="184"/>
        <v>0</v>
      </c>
      <c r="U678" s="167">
        <f t="shared" si="185"/>
        <v>0</v>
      </c>
      <c r="V678" s="167">
        <f t="shared" si="186"/>
        <v>0</v>
      </c>
    </row>
    <row r="679" spans="1:22" s="97" customFormat="1" ht="20.100000000000001" customHeight="1">
      <c r="A679" s="222"/>
      <c r="B679" s="178" t="s">
        <v>145</v>
      </c>
      <c r="C679" s="239" t="s">
        <v>237</v>
      </c>
      <c r="D679" s="239" t="s">
        <v>153</v>
      </c>
      <c r="E679" s="252">
        <f>'Вед-я стр-ра'!H57</f>
        <v>289.69</v>
      </c>
      <c r="F679" s="252">
        <f>'Вед-я стр-ра'!I57</f>
        <v>289.69</v>
      </c>
      <c r="G679" s="252">
        <f>'Вед-я стр-ра'!J57</f>
        <v>289.69</v>
      </c>
      <c r="H679" s="252">
        <v>289.69</v>
      </c>
      <c r="I679" s="252">
        <v>289.69</v>
      </c>
      <c r="J679" s="252">
        <v>289.69</v>
      </c>
      <c r="K679" s="178" t="s">
        <v>145</v>
      </c>
      <c r="L679" s="239" t="s">
        <v>237</v>
      </c>
      <c r="M679" s="239" t="s">
        <v>153</v>
      </c>
      <c r="N679" s="252">
        <v>289.69</v>
      </c>
      <c r="O679" s="252">
        <v>289.69</v>
      </c>
      <c r="P679" s="252">
        <v>289.69</v>
      </c>
      <c r="Q679" s="101" t="b">
        <f t="shared" si="181"/>
        <v>1</v>
      </c>
      <c r="R679" s="101" t="b">
        <f t="shared" si="182"/>
        <v>1</v>
      </c>
      <c r="S679" s="101" t="b">
        <f t="shared" si="183"/>
        <v>1</v>
      </c>
      <c r="T679" s="167">
        <f t="shared" si="184"/>
        <v>0</v>
      </c>
      <c r="U679" s="167">
        <f t="shared" si="185"/>
        <v>0</v>
      </c>
      <c r="V679" s="167">
        <f t="shared" si="186"/>
        <v>0</v>
      </c>
    </row>
    <row r="680" spans="1:22" s="97" customFormat="1" ht="20.100000000000001" customHeight="1">
      <c r="A680" s="222" t="s">
        <v>799</v>
      </c>
      <c r="B680" s="182" t="s">
        <v>1265</v>
      </c>
      <c r="C680" s="239" t="s">
        <v>238</v>
      </c>
      <c r="D680" s="239" t="s">
        <v>90</v>
      </c>
      <c r="E680" s="240">
        <f>E681</f>
        <v>9</v>
      </c>
      <c r="F680" s="240">
        <f>F681</f>
        <v>9</v>
      </c>
      <c r="G680" s="240">
        <f>G681</f>
        <v>9</v>
      </c>
      <c r="H680" s="240">
        <v>9</v>
      </c>
      <c r="I680" s="240">
        <v>9</v>
      </c>
      <c r="J680" s="240">
        <v>9</v>
      </c>
      <c r="K680" s="178" t="s">
        <v>519</v>
      </c>
      <c r="L680" s="239" t="s">
        <v>238</v>
      </c>
      <c r="M680" s="239" t="s">
        <v>90</v>
      </c>
      <c r="N680" s="240">
        <v>9</v>
      </c>
      <c r="O680" s="240">
        <v>9</v>
      </c>
      <c r="P680" s="240">
        <v>9</v>
      </c>
      <c r="Q680" s="101" t="b">
        <f t="shared" si="181"/>
        <v>0</v>
      </c>
      <c r="R680" s="101" t="b">
        <f t="shared" si="182"/>
        <v>1</v>
      </c>
      <c r="S680" s="101" t="b">
        <f t="shared" si="183"/>
        <v>1</v>
      </c>
      <c r="T680" s="167">
        <f t="shared" si="184"/>
        <v>0</v>
      </c>
      <c r="U680" s="167">
        <f t="shared" si="185"/>
        <v>0</v>
      </c>
      <c r="V680" s="167">
        <f t="shared" si="186"/>
        <v>0</v>
      </c>
    </row>
    <row r="681" spans="1:22" s="97" customFormat="1" ht="20.100000000000001" customHeight="1">
      <c r="A681" s="222"/>
      <c r="B681" s="178" t="s">
        <v>145</v>
      </c>
      <c r="C681" s="239" t="s">
        <v>238</v>
      </c>
      <c r="D681" s="239" t="s">
        <v>153</v>
      </c>
      <c r="E681" s="252">
        <f>'Вед-я стр-ра'!H59</f>
        <v>9</v>
      </c>
      <c r="F681" s="252">
        <f>'Вед-я стр-ра'!I59</f>
        <v>9</v>
      </c>
      <c r="G681" s="252">
        <f>'Вед-я стр-ра'!J59</f>
        <v>9</v>
      </c>
      <c r="H681" s="252">
        <v>9</v>
      </c>
      <c r="I681" s="252">
        <v>9</v>
      </c>
      <c r="J681" s="252">
        <v>9</v>
      </c>
      <c r="K681" s="178" t="s">
        <v>145</v>
      </c>
      <c r="L681" s="239" t="s">
        <v>238</v>
      </c>
      <c r="M681" s="239" t="s">
        <v>153</v>
      </c>
      <c r="N681" s="252">
        <v>9</v>
      </c>
      <c r="O681" s="252">
        <v>9</v>
      </c>
      <c r="P681" s="252">
        <v>9</v>
      </c>
      <c r="Q681" s="101" t="b">
        <f t="shared" si="181"/>
        <v>1</v>
      </c>
      <c r="R681" s="101" t="b">
        <f t="shared" si="182"/>
        <v>1</v>
      </c>
      <c r="S681" s="101" t="b">
        <f t="shared" si="183"/>
        <v>1</v>
      </c>
      <c r="T681" s="167">
        <f t="shared" si="184"/>
        <v>0</v>
      </c>
      <c r="U681" s="167">
        <f t="shared" si="185"/>
        <v>0</v>
      </c>
      <c r="V681" s="167">
        <f t="shared" si="186"/>
        <v>0</v>
      </c>
    </row>
    <row r="682" spans="1:22" s="102" customFormat="1" ht="20.100000000000001" customHeight="1">
      <c r="A682" s="346"/>
      <c r="B682" s="241" t="s">
        <v>44</v>
      </c>
      <c r="C682" s="236" t="s">
        <v>239</v>
      </c>
      <c r="D682" s="236" t="s">
        <v>90</v>
      </c>
      <c r="E682" s="237">
        <f>E683+E685</f>
        <v>2264.09</v>
      </c>
      <c r="F682" s="237">
        <f>F683+F685</f>
        <v>2264.09</v>
      </c>
      <c r="G682" s="237">
        <f>G683+G685</f>
        <v>2264.09</v>
      </c>
      <c r="H682" s="237">
        <v>2264.09</v>
      </c>
      <c r="I682" s="237">
        <v>2264.09</v>
      </c>
      <c r="J682" s="237">
        <v>2264.09</v>
      </c>
      <c r="K682" s="241" t="s">
        <v>44</v>
      </c>
      <c r="L682" s="236" t="s">
        <v>239</v>
      </c>
      <c r="M682" s="236" t="s">
        <v>90</v>
      </c>
      <c r="N682" s="237">
        <v>2264.09</v>
      </c>
      <c r="O682" s="237">
        <v>2264.09</v>
      </c>
      <c r="P682" s="237">
        <v>2264.09</v>
      </c>
      <c r="Q682" s="101" t="b">
        <f t="shared" si="181"/>
        <v>1</v>
      </c>
      <c r="R682" s="101" t="b">
        <f t="shared" si="182"/>
        <v>1</v>
      </c>
      <c r="S682" s="101" t="b">
        <f t="shared" si="183"/>
        <v>1</v>
      </c>
      <c r="T682" s="167">
        <f t="shared" si="184"/>
        <v>0</v>
      </c>
      <c r="U682" s="167">
        <f t="shared" si="185"/>
        <v>0</v>
      </c>
      <c r="V682" s="167">
        <f t="shared" si="186"/>
        <v>0</v>
      </c>
    </row>
    <row r="683" spans="1:22" s="97" customFormat="1" ht="20.100000000000001" customHeight="1">
      <c r="A683" s="222"/>
      <c r="B683" s="175" t="s">
        <v>151</v>
      </c>
      <c r="C683" s="230" t="s">
        <v>516</v>
      </c>
      <c r="D683" s="230" t="s">
        <v>90</v>
      </c>
      <c r="E683" s="252">
        <f>E684</f>
        <v>41.55</v>
      </c>
      <c r="F683" s="252">
        <f>F684</f>
        <v>41.55</v>
      </c>
      <c r="G683" s="252">
        <f>G684</f>
        <v>41.55</v>
      </c>
      <c r="H683" s="252">
        <v>41.55</v>
      </c>
      <c r="I683" s="252">
        <v>41.55</v>
      </c>
      <c r="J683" s="252">
        <v>41.55</v>
      </c>
      <c r="K683" s="175" t="s">
        <v>151</v>
      </c>
      <c r="L683" s="230" t="s">
        <v>516</v>
      </c>
      <c r="M683" s="230" t="s">
        <v>90</v>
      </c>
      <c r="N683" s="252">
        <v>41.55</v>
      </c>
      <c r="O683" s="252">
        <v>41.55</v>
      </c>
      <c r="P683" s="252">
        <v>41.55</v>
      </c>
      <c r="Q683" s="101" t="b">
        <f t="shared" si="181"/>
        <v>1</v>
      </c>
      <c r="R683" s="101" t="b">
        <f t="shared" si="182"/>
        <v>1</v>
      </c>
      <c r="S683" s="101" t="b">
        <f t="shared" si="183"/>
        <v>1</v>
      </c>
      <c r="T683" s="167">
        <f t="shared" si="184"/>
        <v>0</v>
      </c>
      <c r="U683" s="167">
        <f t="shared" si="185"/>
        <v>0</v>
      </c>
      <c r="V683" s="167">
        <f t="shared" si="186"/>
        <v>0</v>
      </c>
    </row>
    <row r="684" spans="1:22" s="97" customFormat="1" ht="20.100000000000001" customHeight="1">
      <c r="A684" s="222"/>
      <c r="B684" s="180" t="s">
        <v>144</v>
      </c>
      <c r="C684" s="230" t="s">
        <v>516</v>
      </c>
      <c r="D684" s="230">
        <v>120</v>
      </c>
      <c r="E684" s="252">
        <f>'Вед-я стр-ра'!H43</f>
        <v>41.55</v>
      </c>
      <c r="F684" s="252">
        <f>'Вед-я стр-ра'!I43</f>
        <v>41.55</v>
      </c>
      <c r="G684" s="252">
        <f>'Вед-я стр-ра'!J43</f>
        <v>41.55</v>
      </c>
      <c r="H684" s="252">
        <v>41.55</v>
      </c>
      <c r="I684" s="252">
        <v>41.55</v>
      </c>
      <c r="J684" s="252">
        <v>41.55</v>
      </c>
      <c r="K684" s="180" t="s">
        <v>144</v>
      </c>
      <c r="L684" s="230" t="s">
        <v>516</v>
      </c>
      <c r="M684" s="230">
        <v>120</v>
      </c>
      <c r="N684" s="252">
        <v>41.55</v>
      </c>
      <c r="O684" s="252">
        <v>41.55</v>
      </c>
      <c r="P684" s="252">
        <v>41.55</v>
      </c>
      <c r="Q684" s="101" t="b">
        <f t="shared" si="181"/>
        <v>1</v>
      </c>
      <c r="R684" s="101" t="b">
        <f t="shared" si="182"/>
        <v>1</v>
      </c>
      <c r="S684" s="101" t="b">
        <f t="shared" si="183"/>
        <v>1</v>
      </c>
      <c r="T684" s="167">
        <f t="shared" si="184"/>
        <v>0</v>
      </c>
      <c r="U684" s="167">
        <f t="shared" si="185"/>
        <v>0</v>
      </c>
      <c r="V684" s="167">
        <f t="shared" si="186"/>
        <v>0</v>
      </c>
    </row>
    <row r="685" spans="1:22" s="97" customFormat="1" ht="20.100000000000001" customHeight="1">
      <c r="A685" s="222"/>
      <c r="B685" s="175" t="s">
        <v>161</v>
      </c>
      <c r="C685" s="230" t="s">
        <v>240</v>
      </c>
      <c r="D685" s="230" t="s">
        <v>90</v>
      </c>
      <c r="E685" s="252">
        <f>E686</f>
        <v>2222.54</v>
      </c>
      <c r="F685" s="252">
        <f>F686</f>
        <v>2222.54</v>
      </c>
      <c r="G685" s="252">
        <f>G686</f>
        <v>2222.54</v>
      </c>
      <c r="H685" s="252">
        <v>2222.54</v>
      </c>
      <c r="I685" s="252">
        <v>2222.54</v>
      </c>
      <c r="J685" s="252">
        <v>2222.54</v>
      </c>
      <c r="K685" s="175" t="s">
        <v>161</v>
      </c>
      <c r="L685" s="230" t="s">
        <v>240</v>
      </c>
      <c r="M685" s="230" t="s">
        <v>90</v>
      </c>
      <c r="N685" s="252">
        <v>2222.54</v>
      </c>
      <c r="O685" s="252">
        <v>2222.54</v>
      </c>
      <c r="P685" s="252">
        <v>2222.54</v>
      </c>
      <c r="Q685" s="101" t="b">
        <f t="shared" si="181"/>
        <v>1</v>
      </c>
      <c r="R685" s="101" t="b">
        <f t="shared" si="182"/>
        <v>1</v>
      </c>
      <c r="S685" s="101" t="b">
        <f t="shared" si="183"/>
        <v>1</v>
      </c>
      <c r="T685" s="167">
        <f t="shared" si="184"/>
        <v>0</v>
      </c>
      <c r="U685" s="167">
        <f t="shared" si="185"/>
        <v>0</v>
      </c>
      <c r="V685" s="167">
        <f t="shared" si="186"/>
        <v>0</v>
      </c>
    </row>
    <row r="686" spans="1:22" s="97" customFormat="1" ht="20.100000000000001" customHeight="1">
      <c r="A686" s="222"/>
      <c r="B686" s="178" t="s">
        <v>144</v>
      </c>
      <c r="C686" s="230" t="s">
        <v>240</v>
      </c>
      <c r="D686" s="230">
        <v>120</v>
      </c>
      <c r="E686" s="252">
        <f>'Вед-я стр-ра'!H45</f>
        <v>2222.54</v>
      </c>
      <c r="F686" s="252">
        <f>'Вед-я стр-ра'!I45</f>
        <v>2222.54</v>
      </c>
      <c r="G686" s="252">
        <f>'Вед-я стр-ра'!J45</f>
        <v>2222.54</v>
      </c>
      <c r="H686" s="252">
        <v>2222.54</v>
      </c>
      <c r="I686" s="252">
        <v>2222.54</v>
      </c>
      <c r="J686" s="252">
        <v>2222.54</v>
      </c>
      <c r="K686" s="178" t="s">
        <v>144</v>
      </c>
      <c r="L686" s="230" t="s">
        <v>240</v>
      </c>
      <c r="M686" s="230">
        <v>120</v>
      </c>
      <c r="N686" s="252">
        <v>2222.54</v>
      </c>
      <c r="O686" s="252">
        <v>2222.54</v>
      </c>
      <c r="P686" s="252">
        <v>2222.54</v>
      </c>
      <c r="Q686" s="101" t="b">
        <f t="shared" si="181"/>
        <v>1</v>
      </c>
      <c r="R686" s="101" t="b">
        <f t="shared" si="182"/>
        <v>1</v>
      </c>
      <c r="S686" s="101" t="b">
        <f t="shared" si="183"/>
        <v>1</v>
      </c>
      <c r="T686" s="167">
        <f t="shared" si="184"/>
        <v>0</v>
      </c>
      <c r="U686" s="167">
        <f t="shared" si="185"/>
        <v>0</v>
      </c>
      <c r="V686" s="167">
        <f t="shared" si="186"/>
        <v>0</v>
      </c>
    </row>
    <row r="687" spans="1:22" s="97" customFormat="1" ht="20.100000000000001" customHeight="1">
      <c r="A687" s="222"/>
      <c r="B687" s="178"/>
      <c r="C687" s="230"/>
      <c r="D687" s="230"/>
      <c r="E687" s="240"/>
      <c r="F687" s="240"/>
      <c r="G687" s="240"/>
      <c r="H687" s="240"/>
      <c r="I687" s="240"/>
      <c r="J687" s="240"/>
      <c r="K687" s="178"/>
      <c r="L687" s="230"/>
      <c r="M687" s="230"/>
      <c r="N687" s="240"/>
      <c r="O687" s="240"/>
      <c r="P687" s="240"/>
      <c r="Q687" s="101" t="b">
        <f t="shared" si="181"/>
        <v>1</v>
      </c>
      <c r="R687" s="101" t="b">
        <f t="shared" si="182"/>
        <v>1</v>
      </c>
      <c r="S687" s="101" t="b">
        <f t="shared" si="183"/>
        <v>1</v>
      </c>
      <c r="T687" s="167">
        <f t="shared" si="184"/>
        <v>0</v>
      </c>
      <c r="U687" s="167">
        <f t="shared" si="185"/>
        <v>0</v>
      </c>
      <c r="V687" s="167">
        <f t="shared" si="186"/>
        <v>0</v>
      </c>
    </row>
    <row r="688" spans="1:22" s="101" customFormat="1" ht="20.100000000000001" customHeight="1">
      <c r="A688" s="345"/>
      <c r="B688" s="232" t="s">
        <v>511</v>
      </c>
      <c r="C688" s="233" t="s">
        <v>289</v>
      </c>
      <c r="D688" s="233" t="s">
        <v>90</v>
      </c>
      <c r="E688" s="234">
        <f>E689</f>
        <v>98179.49</v>
      </c>
      <c r="F688" s="234">
        <f t="shared" ref="F688:G688" si="191">F689</f>
        <v>98232.510000000009</v>
      </c>
      <c r="G688" s="234">
        <f t="shared" si="191"/>
        <v>98287.66</v>
      </c>
      <c r="H688" s="234">
        <v>98179.49</v>
      </c>
      <c r="I688" s="234">
        <v>98232.510000000009</v>
      </c>
      <c r="J688" s="234">
        <v>98287.66</v>
      </c>
      <c r="K688" s="232" t="s">
        <v>511</v>
      </c>
      <c r="L688" s="233" t="s">
        <v>289</v>
      </c>
      <c r="M688" s="233" t="s">
        <v>90</v>
      </c>
      <c r="N688" s="234">
        <v>98179.49</v>
      </c>
      <c r="O688" s="234">
        <v>98232.510000000009</v>
      </c>
      <c r="P688" s="234">
        <v>98287.66</v>
      </c>
      <c r="Q688" s="101" t="b">
        <f t="shared" si="181"/>
        <v>1</v>
      </c>
      <c r="R688" s="101" t="b">
        <f t="shared" si="182"/>
        <v>1</v>
      </c>
      <c r="S688" s="101" t="b">
        <f t="shared" si="183"/>
        <v>1</v>
      </c>
      <c r="T688" s="167">
        <f t="shared" si="184"/>
        <v>0</v>
      </c>
      <c r="U688" s="167">
        <f t="shared" si="185"/>
        <v>0</v>
      </c>
      <c r="V688" s="167">
        <f t="shared" si="186"/>
        <v>0</v>
      </c>
    </row>
    <row r="689" spans="1:22" s="102" customFormat="1" ht="20.100000000000001" customHeight="1">
      <c r="A689" s="346"/>
      <c r="B689" s="241" t="s">
        <v>512</v>
      </c>
      <c r="C689" s="236" t="s">
        <v>290</v>
      </c>
      <c r="D689" s="236" t="s">
        <v>90</v>
      </c>
      <c r="E689" s="237">
        <f>E690+E694</f>
        <v>98179.49</v>
      </c>
      <c r="F689" s="237">
        <f t="shared" ref="F689:G689" si="192">F690+F694</f>
        <v>98232.510000000009</v>
      </c>
      <c r="G689" s="237">
        <f t="shared" si="192"/>
        <v>98287.66</v>
      </c>
      <c r="H689" s="237">
        <v>98179.49</v>
      </c>
      <c r="I689" s="237">
        <v>98232.510000000009</v>
      </c>
      <c r="J689" s="237">
        <v>98287.66</v>
      </c>
      <c r="K689" s="241" t="s">
        <v>512</v>
      </c>
      <c r="L689" s="236" t="s">
        <v>290</v>
      </c>
      <c r="M689" s="236" t="s">
        <v>90</v>
      </c>
      <c r="N689" s="237">
        <v>98179.49</v>
      </c>
      <c r="O689" s="237">
        <v>98232.510000000009</v>
      </c>
      <c r="P689" s="237">
        <v>98287.66</v>
      </c>
      <c r="Q689" s="101" t="b">
        <f t="shared" si="181"/>
        <v>1</v>
      </c>
      <c r="R689" s="101" t="b">
        <f t="shared" si="182"/>
        <v>1</v>
      </c>
      <c r="S689" s="101" t="b">
        <f t="shared" si="183"/>
        <v>1</v>
      </c>
      <c r="T689" s="167">
        <f t="shared" si="184"/>
        <v>0</v>
      </c>
      <c r="U689" s="167">
        <f t="shared" si="185"/>
        <v>0</v>
      </c>
      <c r="V689" s="167">
        <f t="shared" si="186"/>
        <v>0</v>
      </c>
    </row>
    <row r="690" spans="1:22" s="97" customFormat="1" ht="20.100000000000001" customHeight="1">
      <c r="A690" s="222"/>
      <c r="B690" s="175" t="s">
        <v>151</v>
      </c>
      <c r="C690" s="230" t="s">
        <v>291</v>
      </c>
      <c r="D690" s="230" t="s">
        <v>90</v>
      </c>
      <c r="E690" s="252">
        <f>E691+E692+E693</f>
        <v>12710.050000000001</v>
      </c>
      <c r="F690" s="252">
        <f>F691+F692+F693</f>
        <v>12763.070000000002</v>
      </c>
      <c r="G690" s="252">
        <f>G691+G692+G693</f>
        <v>12818.220000000001</v>
      </c>
      <c r="H690" s="252">
        <v>12710.050000000001</v>
      </c>
      <c r="I690" s="252">
        <v>12763.070000000002</v>
      </c>
      <c r="J690" s="252">
        <v>12818.220000000001</v>
      </c>
      <c r="K690" s="175" t="s">
        <v>151</v>
      </c>
      <c r="L690" s="230" t="s">
        <v>291</v>
      </c>
      <c r="M690" s="230" t="s">
        <v>90</v>
      </c>
      <c r="N690" s="252">
        <v>12710.050000000001</v>
      </c>
      <c r="O690" s="252">
        <v>12763.070000000002</v>
      </c>
      <c r="P690" s="252">
        <v>12818.220000000001</v>
      </c>
      <c r="Q690" s="101" t="b">
        <f t="shared" si="181"/>
        <v>1</v>
      </c>
      <c r="R690" s="101" t="b">
        <f t="shared" si="182"/>
        <v>1</v>
      </c>
      <c r="S690" s="101" t="b">
        <f t="shared" si="183"/>
        <v>1</v>
      </c>
      <c r="T690" s="167">
        <f t="shared" si="184"/>
        <v>0</v>
      </c>
      <c r="U690" s="167">
        <f t="shared" si="185"/>
        <v>0</v>
      </c>
      <c r="V690" s="167">
        <f t="shared" si="186"/>
        <v>0</v>
      </c>
    </row>
    <row r="691" spans="1:22" s="97" customFormat="1" ht="20.100000000000001" customHeight="1">
      <c r="A691" s="222"/>
      <c r="B691" s="175" t="s">
        <v>144</v>
      </c>
      <c r="C691" s="230" t="s">
        <v>291</v>
      </c>
      <c r="D691" s="230">
        <v>120</v>
      </c>
      <c r="E691" s="252">
        <f>'Вед-я стр-ра'!H183</f>
        <v>1495.95</v>
      </c>
      <c r="F691" s="252">
        <f>'Вед-я стр-ра'!I183</f>
        <v>1495.95</v>
      </c>
      <c r="G691" s="252">
        <f>'Вед-я стр-ра'!J183</f>
        <v>1495.95</v>
      </c>
      <c r="H691" s="252">
        <v>1495.95</v>
      </c>
      <c r="I691" s="252">
        <v>1495.95</v>
      </c>
      <c r="J691" s="252">
        <v>1495.95</v>
      </c>
      <c r="K691" s="175" t="s">
        <v>144</v>
      </c>
      <c r="L691" s="230" t="s">
        <v>291</v>
      </c>
      <c r="M691" s="230">
        <v>120</v>
      </c>
      <c r="N691" s="252">
        <v>1495.95</v>
      </c>
      <c r="O691" s="252">
        <v>1495.95</v>
      </c>
      <c r="P691" s="252">
        <v>1495.95</v>
      </c>
      <c r="Q691" s="101" t="b">
        <f t="shared" si="181"/>
        <v>1</v>
      </c>
      <c r="R691" s="101" t="b">
        <f t="shared" si="182"/>
        <v>1</v>
      </c>
      <c r="S691" s="101" t="b">
        <f t="shared" si="183"/>
        <v>1</v>
      </c>
      <c r="T691" s="167">
        <f t="shared" si="184"/>
        <v>0</v>
      </c>
      <c r="U691" s="167">
        <f t="shared" si="185"/>
        <v>0</v>
      </c>
      <c r="V691" s="167">
        <f t="shared" si="186"/>
        <v>0</v>
      </c>
    </row>
    <row r="692" spans="1:22" s="97" customFormat="1" ht="20.100000000000001" customHeight="1">
      <c r="A692" s="222"/>
      <c r="B692" s="178" t="s">
        <v>145</v>
      </c>
      <c r="C692" s="230" t="s">
        <v>291</v>
      </c>
      <c r="D692" s="230">
        <v>240</v>
      </c>
      <c r="E692" s="252">
        <f>'Вед-я стр-ра'!H184</f>
        <v>11144.83</v>
      </c>
      <c r="F692" s="252">
        <f>'Вед-я стр-ра'!I184</f>
        <v>11197.85</v>
      </c>
      <c r="G692" s="252">
        <f>'Вед-я стр-ра'!J184</f>
        <v>11253</v>
      </c>
      <c r="H692" s="252">
        <v>11144.83</v>
      </c>
      <c r="I692" s="252">
        <v>11197.85</v>
      </c>
      <c r="J692" s="252">
        <v>11253</v>
      </c>
      <c r="K692" s="178" t="s">
        <v>145</v>
      </c>
      <c r="L692" s="230" t="s">
        <v>291</v>
      </c>
      <c r="M692" s="230">
        <v>240</v>
      </c>
      <c r="N692" s="252">
        <v>11144.83</v>
      </c>
      <c r="O692" s="252">
        <v>11197.85</v>
      </c>
      <c r="P692" s="252">
        <v>11253</v>
      </c>
      <c r="Q692" s="101" t="b">
        <f t="shared" si="181"/>
        <v>1</v>
      </c>
      <c r="R692" s="101" t="b">
        <f t="shared" si="182"/>
        <v>1</v>
      </c>
      <c r="S692" s="101" t="b">
        <f t="shared" si="183"/>
        <v>1</v>
      </c>
      <c r="T692" s="167">
        <f t="shared" si="184"/>
        <v>0</v>
      </c>
      <c r="U692" s="167">
        <f t="shared" si="185"/>
        <v>0</v>
      </c>
      <c r="V692" s="167">
        <f t="shared" si="186"/>
        <v>0</v>
      </c>
    </row>
    <row r="693" spans="1:22" s="97" customFormat="1" ht="20.100000000000001" customHeight="1">
      <c r="A693" s="222"/>
      <c r="B693" s="180" t="s">
        <v>137</v>
      </c>
      <c r="C693" s="230" t="s">
        <v>291</v>
      </c>
      <c r="D693" s="230">
        <v>850</v>
      </c>
      <c r="E693" s="252">
        <f>'Вед-я стр-ра'!H185</f>
        <v>69.27</v>
      </c>
      <c r="F693" s="252">
        <f>'Вед-я стр-ра'!I185</f>
        <v>69.27</v>
      </c>
      <c r="G693" s="252">
        <f>'Вед-я стр-ра'!J185</f>
        <v>69.27</v>
      </c>
      <c r="H693" s="252">
        <v>69.27</v>
      </c>
      <c r="I693" s="252">
        <v>69.27</v>
      </c>
      <c r="J693" s="252">
        <v>69.27</v>
      </c>
      <c r="K693" s="180" t="s">
        <v>137</v>
      </c>
      <c r="L693" s="230" t="s">
        <v>291</v>
      </c>
      <c r="M693" s="230">
        <v>850</v>
      </c>
      <c r="N693" s="252">
        <v>69.27</v>
      </c>
      <c r="O693" s="252">
        <v>69.27</v>
      </c>
      <c r="P693" s="252">
        <v>69.27</v>
      </c>
      <c r="Q693" s="101" t="b">
        <f t="shared" si="181"/>
        <v>1</v>
      </c>
      <c r="R693" s="101" t="b">
        <f t="shared" si="182"/>
        <v>1</v>
      </c>
      <c r="S693" s="101" t="b">
        <f t="shared" si="183"/>
        <v>1</v>
      </c>
      <c r="T693" s="167">
        <f t="shared" si="184"/>
        <v>0</v>
      </c>
      <c r="U693" s="167">
        <f t="shared" si="185"/>
        <v>0</v>
      </c>
      <c r="V693" s="167">
        <f t="shared" si="186"/>
        <v>0</v>
      </c>
    </row>
    <row r="694" spans="1:22" s="97" customFormat="1" ht="20.100000000000001" customHeight="1">
      <c r="A694" s="222"/>
      <c r="B694" s="175" t="s">
        <v>161</v>
      </c>
      <c r="C694" s="230" t="s">
        <v>292</v>
      </c>
      <c r="D694" s="230" t="s">
        <v>90</v>
      </c>
      <c r="E694" s="252">
        <f>E695</f>
        <v>85469.440000000002</v>
      </c>
      <c r="F694" s="252">
        <f>F695</f>
        <v>85469.440000000002</v>
      </c>
      <c r="G694" s="252">
        <f>G695</f>
        <v>85469.440000000002</v>
      </c>
      <c r="H694" s="252">
        <v>85469.440000000002</v>
      </c>
      <c r="I694" s="252">
        <v>85469.440000000002</v>
      </c>
      <c r="J694" s="252">
        <v>85469.440000000002</v>
      </c>
      <c r="K694" s="175" t="s">
        <v>161</v>
      </c>
      <c r="L694" s="230" t="s">
        <v>292</v>
      </c>
      <c r="M694" s="230" t="s">
        <v>90</v>
      </c>
      <c r="N694" s="252">
        <v>85469.440000000002</v>
      </c>
      <c r="O694" s="252">
        <v>85469.440000000002</v>
      </c>
      <c r="P694" s="252">
        <v>85469.440000000002</v>
      </c>
      <c r="Q694" s="101" t="b">
        <f t="shared" si="181"/>
        <v>1</v>
      </c>
      <c r="R694" s="101" t="b">
        <f t="shared" si="182"/>
        <v>1</v>
      </c>
      <c r="S694" s="101" t="b">
        <f t="shared" si="183"/>
        <v>1</v>
      </c>
      <c r="T694" s="167">
        <f t="shared" si="184"/>
        <v>0</v>
      </c>
      <c r="U694" s="167">
        <f t="shared" si="185"/>
        <v>0</v>
      </c>
      <c r="V694" s="167">
        <f t="shared" si="186"/>
        <v>0</v>
      </c>
    </row>
    <row r="695" spans="1:22" s="97" customFormat="1" ht="20.100000000000001" customHeight="1">
      <c r="A695" s="222"/>
      <c r="B695" s="180" t="s">
        <v>144</v>
      </c>
      <c r="C695" s="230" t="s">
        <v>292</v>
      </c>
      <c r="D695" s="230">
        <v>120</v>
      </c>
      <c r="E695" s="252">
        <f>'Вед-я стр-ра'!H187</f>
        <v>85469.440000000002</v>
      </c>
      <c r="F695" s="252">
        <f>'Вед-я стр-ра'!I187</f>
        <v>85469.440000000002</v>
      </c>
      <c r="G695" s="252">
        <f>'Вед-я стр-ра'!J187</f>
        <v>85469.440000000002</v>
      </c>
      <c r="H695" s="252">
        <v>85469.440000000002</v>
      </c>
      <c r="I695" s="252">
        <v>85469.440000000002</v>
      </c>
      <c r="J695" s="252">
        <v>85469.440000000002</v>
      </c>
      <c r="K695" s="180" t="s">
        <v>144</v>
      </c>
      <c r="L695" s="230" t="s">
        <v>292</v>
      </c>
      <c r="M695" s="230">
        <v>120</v>
      </c>
      <c r="N695" s="252">
        <v>85469.440000000002</v>
      </c>
      <c r="O695" s="252">
        <v>85469.440000000002</v>
      </c>
      <c r="P695" s="252">
        <v>85469.440000000002</v>
      </c>
      <c r="Q695" s="101" t="b">
        <f t="shared" si="181"/>
        <v>1</v>
      </c>
      <c r="R695" s="101" t="b">
        <f t="shared" si="182"/>
        <v>1</v>
      </c>
      <c r="S695" s="101" t="b">
        <f t="shared" si="183"/>
        <v>1</v>
      </c>
      <c r="T695" s="167">
        <f t="shared" si="184"/>
        <v>0</v>
      </c>
      <c r="U695" s="167">
        <f t="shared" si="185"/>
        <v>0</v>
      </c>
      <c r="V695" s="167">
        <f t="shared" si="186"/>
        <v>0</v>
      </c>
    </row>
    <row r="696" spans="1:22" s="97" customFormat="1" ht="20.100000000000001" customHeight="1">
      <c r="A696" s="222"/>
      <c r="B696" s="180"/>
      <c r="C696" s="239"/>
      <c r="D696" s="239"/>
      <c r="E696" s="240"/>
      <c r="F696" s="240"/>
      <c r="G696" s="240"/>
      <c r="H696" s="240"/>
      <c r="I696" s="240"/>
      <c r="J696" s="240"/>
      <c r="K696" s="180"/>
      <c r="L696" s="239"/>
      <c r="M696" s="239"/>
      <c r="N696" s="240"/>
      <c r="O696" s="240"/>
      <c r="P696" s="240"/>
      <c r="Q696" s="101" t="b">
        <f t="shared" si="181"/>
        <v>1</v>
      </c>
      <c r="R696" s="101" t="b">
        <f t="shared" si="182"/>
        <v>1</v>
      </c>
      <c r="S696" s="101" t="b">
        <f t="shared" si="183"/>
        <v>1</v>
      </c>
      <c r="T696" s="167">
        <f t="shared" si="184"/>
        <v>0</v>
      </c>
      <c r="U696" s="167">
        <f t="shared" si="185"/>
        <v>0</v>
      </c>
      <c r="V696" s="167">
        <f t="shared" si="186"/>
        <v>0</v>
      </c>
    </row>
    <row r="697" spans="1:22" s="101" customFormat="1" ht="20.100000000000001" customHeight="1">
      <c r="A697" s="345"/>
      <c r="B697" s="232" t="s">
        <v>163</v>
      </c>
      <c r="C697" s="233" t="s">
        <v>299</v>
      </c>
      <c r="D697" s="233" t="s">
        <v>90</v>
      </c>
      <c r="E697" s="234">
        <f>E698</f>
        <v>60877.219999999994</v>
      </c>
      <c r="F697" s="234">
        <f>F698</f>
        <v>60877.21</v>
      </c>
      <c r="G697" s="234">
        <f>G698</f>
        <v>60877.21</v>
      </c>
      <c r="H697" s="234">
        <v>60877.219999999994</v>
      </c>
      <c r="I697" s="234">
        <v>60877.21</v>
      </c>
      <c r="J697" s="234">
        <v>60877.21</v>
      </c>
      <c r="K697" s="232" t="s">
        <v>163</v>
      </c>
      <c r="L697" s="233" t="s">
        <v>299</v>
      </c>
      <c r="M697" s="233" t="s">
        <v>90</v>
      </c>
      <c r="N697" s="234">
        <v>60877.219999999994</v>
      </c>
      <c r="O697" s="234">
        <v>60877.21</v>
      </c>
      <c r="P697" s="234">
        <v>60877.21</v>
      </c>
      <c r="Q697" s="101" t="b">
        <f t="shared" ref="Q697:Q760" si="193">B697=K697</f>
        <v>1</v>
      </c>
      <c r="R697" s="101" t="b">
        <f t="shared" ref="R697:R760" si="194">C697=L697</f>
        <v>1</v>
      </c>
      <c r="S697" s="101" t="b">
        <f t="shared" ref="S697:S760" si="195">D697=M697</f>
        <v>1</v>
      </c>
      <c r="T697" s="167">
        <f t="shared" ref="T697:T760" si="196">E697-N697</f>
        <v>0</v>
      </c>
      <c r="U697" s="167">
        <f t="shared" ref="U697:U760" si="197">F697-O697</f>
        <v>0</v>
      </c>
      <c r="V697" s="167">
        <f t="shared" ref="V697:V760" si="198">G697-P697</f>
        <v>0</v>
      </c>
    </row>
    <row r="698" spans="1:22" s="102" customFormat="1" ht="20.100000000000001" customHeight="1">
      <c r="A698" s="346"/>
      <c r="B698" s="241" t="s">
        <v>164</v>
      </c>
      <c r="C698" s="236" t="s">
        <v>300</v>
      </c>
      <c r="D698" s="236" t="s">
        <v>90</v>
      </c>
      <c r="E698" s="237">
        <f>E699+E703</f>
        <v>60877.219999999994</v>
      </c>
      <c r="F698" s="237">
        <f t="shared" ref="F698:G698" si="199">F699+F703</f>
        <v>60877.21</v>
      </c>
      <c r="G698" s="237">
        <f t="shared" si="199"/>
        <v>60877.21</v>
      </c>
      <c r="H698" s="237">
        <v>60877.219999999994</v>
      </c>
      <c r="I698" s="237">
        <v>60877.21</v>
      </c>
      <c r="J698" s="237">
        <v>60877.21</v>
      </c>
      <c r="K698" s="241" t="s">
        <v>164</v>
      </c>
      <c r="L698" s="236" t="s">
        <v>300</v>
      </c>
      <c r="M698" s="236" t="s">
        <v>90</v>
      </c>
      <c r="N698" s="237">
        <v>60877.219999999994</v>
      </c>
      <c r="O698" s="237">
        <v>60877.21</v>
      </c>
      <c r="P698" s="237">
        <v>60877.21</v>
      </c>
      <c r="Q698" s="101" t="b">
        <f t="shared" si="193"/>
        <v>1</v>
      </c>
      <c r="R698" s="101" t="b">
        <f t="shared" si="194"/>
        <v>1</v>
      </c>
      <c r="S698" s="101" t="b">
        <f t="shared" si="195"/>
        <v>1</v>
      </c>
      <c r="T698" s="167">
        <f t="shared" si="196"/>
        <v>0</v>
      </c>
      <c r="U698" s="167">
        <f t="shared" si="197"/>
        <v>0</v>
      </c>
      <c r="V698" s="167">
        <f t="shared" si="198"/>
        <v>0</v>
      </c>
    </row>
    <row r="699" spans="1:22" s="97" customFormat="1" ht="20.100000000000001" customHeight="1">
      <c r="A699" s="222"/>
      <c r="B699" s="175" t="s">
        <v>151</v>
      </c>
      <c r="C699" s="230" t="s">
        <v>301</v>
      </c>
      <c r="D699" s="230" t="s">
        <v>90</v>
      </c>
      <c r="E699" s="252">
        <f>E700+E701+E702</f>
        <v>4818.7</v>
      </c>
      <c r="F699" s="252">
        <f>F700+F701+F702</f>
        <v>4818.6900000000005</v>
      </c>
      <c r="G699" s="252">
        <f>G700+G701+G702</f>
        <v>4818.6900000000005</v>
      </c>
      <c r="H699" s="252">
        <v>4818.7</v>
      </c>
      <c r="I699" s="252">
        <v>4818.6900000000005</v>
      </c>
      <c r="J699" s="252">
        <v>4818.6900000000005</v>
      </c>
      <c r="K699" s="175" t="s">
        <v>151</v>
      </c>
      <c r="L699" s="230" t="s">
        <v>301</v>
      </c>
      <c r="M699" s="230" t="s">
        <v>90</v>
      </c>
      <c r="N699" s="252">
        <v>4818.7</v>
      </c>
      <c r="O699" s="252">
        <v>4818.6900000000005</v>
      </c>
      <c r="P699" s="252">
        <v>4818.6900000000005</v>
      </c>
      <c r="Q699" s="101" t="b">
        <f t="shared" si="193"/>
        <v>1</v>
      </c>
      <c r="R699" s="101" t="b">
        <f t="shared" si="194"/>
        <v>1</v>
      </c>
      <c r="S699" s="101" t="b">
        <f t="shared" si="195"/>
        <v>1</v>
      </c>
      <c r="T699" s="167">
        <f t="shared" si="196"/>
        <v>0</v>
      </c>
      <c r="U699" s="167">
        <f t="shared" si="197"/>
        <v>0</v>
      </c>
      <c r="V699" s="167">
        <f t="shared" si="198"/>
        <v>0</v>
      </c>
    </row>
    <row r="700" spans="1:22" s="97" customFormat="1" ht="20.100000000000001" customHeight="1">
      <c r="A700" s="222"/>
      <c r="B700" s="180" t="s">
        <v>144</v>
      </c>
      <c r="C700" s="230" t="s">
        <v>301</v>
      </c>
      <c r="D700" s="230">
        <v>120</v>
      </c>
      <c r="E700" s="252">
        <f>'Вед-я стр-ра'!H213</f>
        <v>1274.72</v>
      </c>
      <c r="F700" s="252">
        <f>'Вед-я стр-ра'!I213</f>
        <v>1274.72</v>
      </c>
      <c r="G700" s="252">
        <f>'Вед-я стр-ра'!J213</f>
        <v>1274.72</v>
      </c>
      <c r="H700" s="252">
        <v>1274.72</v>
      </c>
      <c r="I700" s="252">
        <v>1274.72</v>
      </c>
      <c r="J700" s="252">
        <v>1274.72</v>
      </c>
      <c r="K700" s="180" t="s">
        <v>144</v>
      </c>
      <c r="L700" s="230" t="s">
        <v>301</v>
      </c>
      <c r="M700" s="230">
        <v>120</v>
      </c>
      <c r="N700" s="252">
        <v>1274.72</v>
      </c>
      <c r="O700" s="252">
        <v>1274.72</v>
      </c>
      <c r="P700" s="252">
        <v>1274.72</v>
      </c>
      <c r="Q700" s="101" t="b">
        <f t="shared" si="193"/>
        <v>1</v>
      </c>
      <c r="R700" s="101" t="b">
        <f t="shared" si="194"/>
        <v>1</v>
      </c>
      <c r="S700" s="101" t="b">
        <f t="shared" si="195"/>
        <v>1</v>
      </c>
      <c r="T700" s="167">
        <f t="shared" si="196"/>
        <v>0</v>
      </c>
      <c r="U700" s="167">
        <f t="shared" si="197"/>
        <v>0</v>
      </c>
      <c r="V700" s="167">
        <f t="shared" si="198"/>
        <v>0</v>
      </c>
    </row>
    <row r="701" spans="1:22" s="97" customFormat="1" ht="20.100000000000001" customHeight="1">
      <c r="A701" s="222"/>
      <c r="B701" s="180" t="s">
        <v>145</v>
      </c>
      <c r="C701" s="230" t="s">
        <v>301</v>
      </c>
      <c r="D701" s="230">
        <v>240</v>
      </c>
      <c r="E701" s="252">
        <f>'Вед-я стр-ра'!H214</f>
        <v>3490.68</v>
      </c>
      <c r="F701" s="252">
        <f>'Вед-я стр-ра'!I214</f>
        <v>3490.67</v>
      </c>
      <c r="G701" s="252">
        <f>'Вед-я стр-ра'!J214</f>
        <v>3490.67</v>
      </c>
      <c r="H701" s="252">
        <v>3490.68</v>
      </c>
      <c r="I701" s="252">
        <v>3490.67</v>
      </c>
      <c r="J701" s="252">
        <v>3490.67</v>
      </c>
      <c r="K701" s="180" t="s">
        <v>145</v>
      </c>
      <c r="L701" s="230" t="s">
        <v>301</v>
      </c>
      <c r="M701" s="230">
        <v>240</v>
      </c>
      <c r="N701" s="252">
        <v>3490.68</v>
      </c>
      <c r="O701" s="252">
        <v>3490.67</v>
      </c>
      <c r="P701" s="252">
        <v>3490.67</v>
      </c>
      <c r="Q701" s="101" t="b">
        <f t="shared" si="193"/>
        <v>1</v>
      </c>
      <c r="R701" s="101" t="b">
        <f t="shared" si="194"/>
        <v>1</v>
      </c>
      <c r="S701" s="101" t="b">
        <f t="shared" si="195"/>
        <v>1</v>
      </c>
      <c r="T701" s="167">
        <f t="shared" si="196"/>
        <v>0</v>
      </c>
      <c r="U701" s="167">
        <f t="shared" si="197"/>
        <v>0</v>
      </c>
      <c r="V701" s="167">
        <f t="shared" si="198"/>
        <v>0</v>
      </c>
    </row>
    <row r="702" spans="1:22" s="97" customFormat="1" ht="20.100000000000001" customHeight="1">
      <c r="A702" s="222"/>
      <c r="B702" s="254" t="s">
        <v>137</v>
      </c>
      <c r="C702" s="230" t="s">
        <v>301</v>
      </c>
      <c r="D702" s="230">
        <v>850</v>
      </c>
      <c r="E702" s="252">
        <f>'Вед-я стр-ра'!H215</f>
        <v>53.3</v>
      </c>
      <c r="F702" s="252">
        <f>'Вед-я стр-ра'!I215</f>
        <v>53.3</v>
      </c>
      <c r="G702" s="252">
        <f>'Вед-я стр-ра'!J215</f>
        <v>53.3</v>
      </c>
      <c r="H702" s="531">
        <v>53.3</v>
      </c>
      <c r="I702" s="531">
        <v>53.3</v>
      </c>
      <c r="J702" s="531">
        <v>53.3</v>
      </c>
      <c r="K702" s="254" t="s">
        <v>137</v>
      </c>
      <c r="L702" s="230" t="s">
        <v>301</v>
      </c>
      <c r="M702" s="230">
        <v>850</v>
      </c>
      <c r="N702" s="252">
        <v>53.3</v>
      </c>
      <c r="O702" s="252">
        <v>53.3</v>
      </c>
      <c r="P702" s="252">
        <v>53.3</v>
      </c>
      <c r="Q702" s="101" t="b">
        <f t="shared" si="193"/>
        <v>1</v>
      </c>
      <c r="R702" s="101" t="b">
        <f t="shared" si="194"/>
        <v>1</v>
      </c>
      <c r="S702" s="101" t="b">
        <f t="shared" si="195"/>
        <v>1</v>
      </c>
      <c r="T702" s="167">
        <f t="shared" si="196"/>
        <v>0</v>
      </c>
      <c r="U702" s="167">
        <f t="shared" si="197"/>
        <v>0</v>
      </c>
      <c r="V702" s="167">
        <f t="shared" si="198"/>
        <v>0</v>
      </c>
    </row>
    <row r="703" spans="1:22" s="97" customFormat="1" ht="20.100000000000001" customHeight="1">
      <c r="A703" s="222"/>
      <c r="B703" s="175" t="s">
        <v>161</v>
      </c>
      <c r="C703" s="230" t="s">
        <v>302</v>
      </c>
      <c r="D703" s="230" t="s">
        <v>90</v>
      </c>
      <c r="E703" s="252">
        <f>E704</f>
        <v>56058.52</v>
      </c>
      <c r="F703" s="252">
        <f>F704</f>
        <v>56058.52</v>
      </c>
      <c r="G703" s="252">
        <f>G704</f>
        <v>56058.52</v>
      </c>
      <c r="H703" s="252">
        <v>56058.52</v>
      </c>
      <c r="I703" s="252">
        <v>56058.52</v>
      </c>
      <c r="J703" s="252">
        <v>56058.52</v>
      </c>
      <c r="K703" s="175" t="s">
        <v>161</v>
      </c>
      <c r="L703" s="230" t="s">
        <v>302</v>
      </c>
      <c r="M703" s="230" t="s">
        <v>90</v>
      </c>
      <c r="N703" s="252">
        <v>56058.52</v>
      </c>
      <c r="O703" s="252">
        <v>56058.52</v>
      </c>
      <c r="P703" s="252">
        <v>56058.52</v>
      </c>
      <c r="Q703" s="101" t="b">
        <f t="shared" si="193"/>
        <v>1</v>
      </c>
      <c r="R703" s="101" t="b">
        <f t="shared" si="194"/>
        <v>1</v>
      </c>
      <c r="S703" s="101" t="b">
        <f t="shared" si="195"/>
        <v>1</v>
      </c>
      <c r="T703" s="167">
        <f t="shared" si="196"/>
        <v>0</v>
      </c>
      <c r="U703" s="167">
        <f t="shared" si="197"/>
        <v>0</v>
      </c>
      <c r="V703" s="167">
        <f t="shared" si="198"/>
        <v>0</v>
      </c>
    </row>
    <row r="704" spans="1:22" s="97" customFormat="1" ht="20.100000000000001" customHeight="1">
      <c r="A704" s="222"/>
      <c r="B704" s="180" t="s">
        <v>144</v>
      </c>
      <c r="C704" s="230" t="s">
        <v>302</v>
      </c>
      <c r="D704" s="230">
        <v>120</v>
      </c>
      <c r="E704" s="252">
        <f>'Вед-я стр-ра'!H217</f>
        <v>56058.52</v>
      </c>
      <c r="F704" s="252">
        <f>'Вед-я стр-ра'!I217</f>
        <v>56058.52</v>
      </c>
      <c r="G704" s="252">
        <f>'Вед-я стр-ра'!J217</f>
        <v>56058.52</v>
      </c>
      <c r="H704" s="252">
        <v>56058.52</v>
      </c>
      <c r="I704" s="252">
        <v>56058.52</v>
      </c>
      <c r="J704" s="252">
        <v>56058.52</v>
      </c>
      <c r="K704" s="180" t="s">
        <v>144</v>
      </c>
      <c r="L704" s="230" t="s">
        <v>302</v>
      </c>
      <c r="M704" s="230">
        <v>120</v>
      </c>
      <c r="N704" s="252">
        <v>56058.52</v>
      </c>
      <c r="O704" s="252">
        <v>56058.52</v>
      </c>
      <c r="P704" s="252">
        <v>56058.52</v>
      </c>
      <c r="Q704" s="101" t="b">
        <f t="shared" si="193"/>
        <v>1</v>
      </c>
      <c r="R704" s="101" t="b">
        <f t="shared" si="194"/>
        <v>1</v>
      </c>
      <c r="S704" s="101" t="b">
        <f t="shared" si="195"/>
        <v>1</v>
      </c>
      <c r="T704" s="167">
        <f t="shared" si="196"/>
        <v>0</v>
      </c>
      <c r="U704" s="167">
        <f t="shared" si="197"/>
        <v>0</v>
      </c>
      <c r="V704" s="167">
        <f t="shared" si="198"/>
        <v>0</v>
      </c>
    </row>
    <row r="705" spans="1:22" s="97" customFormat="1" ht="20.100000000000001" customHeight="1">
      <c r="A705" s="222"/>
      <c r="B705" s="180"/>
      <c r="C705" s="230"/>
      <c r="D705" s="230"/>
      <c r="E705" s="240"/>
      <c r="F705" s="240"/>
      <c r="G705" s="240"/>
      <c r="H705" s="240"/>
      <c r="I705" s="240"/>
      <c r="J705" s="240"/>
      <c r="K705" s="180"/>
      <c r="L705" s="230"/>
      <c r="M705" s="230"/>
      <c r="N705" s="240"/>
      <c r="O705" s="240"/>
      <c r="P705" s="240"/>
      <c r="Q705" s="101" t="b">
        <f t="shared" si="193"/>
        <v>1</v>
      </c>
      <c r="R705" s="101" t="b">
        <f t="shared" si="194"/>
        <v>1</v>
      </c>
      <c r="S705" s="101" t="b">
        <f t="shared" si="195"/>
        <v>1</v>
      </c>
      <c r="T705" s="167">
        <f t="shared" si="196"/>
        <v>0</v>
      </c>
      <c r="U705" s="167">
        <f t="shared" si="197"/>
        <v>0</v>
      </c>
      <c r="V705" s="167">
        <f t="shared" si="198"/>
        <v>0</v>
      </c>
    </row>
    <row r="706" spans="1:22" s="101" customFormat="1" ht="20.100000000000001" customHeight="1">
      <c r="A706" s="345"/>
      <c r="B706" s="232" t="s">
        <v>1015</v>
      </c>
      <c r="C706" s="233" t="s">
        <v>309</v>
      </c>
      <c r="D706" s="233" t="s">
        <v>90</v>
      </c>
      <c r="E706" s="234">
        <f>E707</f>
        <v>52711.990000000005</v>
      </c>
      <c r="F706" s="234">
        <f>F707</f>
        <v>52743.48</v>
      </c>
      <c r="G706" s="234">
        <f>G707</f>
        <v>52776.540000000008</v>
      </c>
      <c r="H706" s="234">
        <v>52711.990000000005</v>
      </c>
      <c r="I706" s="234">
        <v>52743.48</v>
      </c>
      <c r="J706" s="234">
        <v>52776.540000000008</v>
      </c>
      <c r="K706" s="232" t="s">
        <v>1015</v>
      </c>
      <c r="L706" s="233" t="s">
        <v>309</v>
      </c>
      <c r="M706" s="233" t="s">
        <v>90</v>
      </c>
      <c r="N706" s="234">
        <v>52686.559999999998</v>
      </c>
      <c r="O706" s="234">
        <v>52718.049999999996</v>
      </c>
      <c r="P706" s="234">
        <v>52751.11</v>
      </c>
      <c r="Q706" s="101" t="b">
        <f t="shared" si="193"/>
        <v>1</v>
      </c>
      <c r="R706" s="101" t="b">
        <f t="shared" si="194"/>
        <v>1</v>
      </c>
      <c r="S706" s="101" t="b">
        <f t="shared" si="195"/>
        <v>1</v>
      </c>
      <c r="T706" s="167">
        <f t="shared" si="196"/>
        <v>25.430000000007567</v>
      </c>
      <c r="U706" s="167">
        <f t="shared" si="197"/>
        <v>25.430000000007567</v>
      </c>
      <c r="V706" s="167">
        <f t="shared" si="198"/>
        <v>25.430000000007567</v>
      </c>
    </row>
    <row r="707" spans="1:22" s="102" customFormat="1" ht="20.100000000000001" customHeight="1">
      <c r="A707" s="346"/>
      <c r="B707" s="241" t="s">
        <v>1016</v>
      </c>
      <c r="C707" s="236" t="s">
        <v>310</v>
      </c>
      <c r="D707" s="284" t="s">
        <v>90</v>
      </c>
      <c r="E707" s="237">
        <f>E708+E712</f>
        <v>52711.990000000005</v>
      </c>
      <c r="F707" s="237">
        <f t="shared" ref="F707:G707" si="200">F708+F712</f>
        <v>52743.48</v>
      </c>
      <c r="G707" s="237">
        <f t="shared" si="200"/>
        <v>52776.540000000008</v>
      </c>
      <c r="H707" s="237">
        <v>52711.990000000005</v>
      </c>
      <c r="I707" s="237">
        <v>52743.48</v>
      </c>
      <c r="J707" s="237">
        <v>52776.540000000008</v>
      </c>
      <c r="K707" s="241" t="s">
        <v>1016</v>
      </c>
      <c r="L707" s="236" t="s">
        <v>310</v>
      </c>
      <c r="M707" s="284" t="s">
        <v>90</v>
      </c>
      <c r="N707" s="237">
        <v>52686.559999999998</v>
      </c>
      <c r="O707" s="237">
        <v>52718.049999999996</v>
      </c>
      <c r="P707" s="237">
        <v>52751.11</v>
      </c>
      <c r="Q707" s="101" t="b">
        <f t="shared" si="193"/>
        <v>1</v>
      </c>
      <c r="R707" s="101" t="b">
        <f t="shared" si="194"/>
        <v>1</v>
      </c>
      <c r="S707" s="101" t="b">
        <f t="shared" si="195"/>
        <v>1</v>
      </c>
      <c r="T707" s="167">
        <f t="shared" si="196"/>
        <v>25.430000000007567</v>
      </c>
      <c r="U707" s="167">
        <f t="shared" si="197"/>
        <v>25.430000000007567</v>
      </c>
      <c r="V707" s="167">
        <f t="shared" si="198"/>
        <v>25.430000000007567</v>
      </c>
    </row>
    <row r="708" spans="1:22" s="97" customFormat="1" ht="20.100000000000001" customHeight="1">
      <c r="A708" s="222"/>
      <c r="B708" s="175" t="s">
        <v>151</v>
      </c>
      <c r="C708" s="230" t="s">
        <v>311</v>
      </c>
      <c r="D708" s="230" t="s">
        <v>90</v>
      </c>
      <c r="E708" s="252">
        <f>E709+E710+E711</f>
        <v>4918.1499999999996</v>
      </c>
      <c r="F708" s="252">
        <f>F709+F710+F711</f>
        <v>4949.6400000000003</v>
      </c>
      <c r="G708" s="252">
        <f>G709+G710+G711</f>
        <v>4982.7000000000007</v>
      </c>
      <c r="H708" s="252">
        <v>4918.1499999999996</v>
      </c>
      <c r="I708" s="252">
        <v>4949.6400000000003</v>
      </c>
      <c r="J708" s="252">
        <v>4982.7000000000007</v>
      </c>
      <c r="K708" s="175" t="s">
        <v>151</v>
      </c>
      <c r="L708" s="230" t="s">
        <v>311</v>
      </c>
      <c r="M708" s="230" t="s">
        <v>90</v>
      </c>
      <c r="N708" s="252">
        <v>4918.1499999999996</v>
      </c>
      <c r="O708" s="252">
        <v>4949.6400000000003</v>
      </c>
      <c r="P708" s="252">
        <v>4982.7000000000007</v>
      </c>
      <c r="Q708" s="101" t="b">
        <f t="shared" si="193"/>
        <v>1</v>
      </c>
      <c r="R708" s="101" t="b">
        <f t="shared" si="194"/>
        <v>1</v>
      </c>
      <c r="S708" s="101" t="b">
        <f t="shared" si="195"/>
        <v>1</v>
      </c>
      <c r="T708" s="167">
        <f t="shared" si="196"/>
        <v>0</v>
      </c>
      <c r="U708" s="167">
        <f t="shared" si="197"/>
        <v>0</v>
      </c>
      <c r="V708" s="167">
        <f t="shared" si="198"/>
        <v>0</v>
      </c>
    </row>
    <row r="709" spans="1:22" s="97" customFormat="1" ht="20.100000000000001" customHeight="1">
      <c r="A709" s="222"/>
      <c r="B709" s="180" t="s">
        <v>144</v>
      </c>
      <c r="C709" s="230" t="s">
        <v>311</v>
      </c>
      <c r="D709" s="230">
        <v>120</v>
      </c>
      <c r="E709" s="252">
        <f>'Вед-я стр-ра'!H270</f>
        <v>965.65</v>
      </c>
      <c r="F709" s="252">
        <f>'Вед-я стр-ра'!I270</f>
        <v>965.65</v>
      </c>
      <c r="G709" s="252">
        <f>'Вед-я стр-ра'!J270</f>
        <v>965.65</v>
      </c>
      <c r="H709" s="252">
        <v>965.65</v>
      </c>
      <c r="I709" s="252">
        <v>965.65</v>
      </c>
      <c r="J709" s="252">
        <v>965.65</v>
      </c>
      <c r="K709" s="180" t="s">
        <v>144</v>
      </c>
      <c r="L709" s="230" t="s">
        <v>311</v>
      </c>
      <c r="M709" s="230">
        <v>120</v>
      </c>
      <c r="N709" s="252">
        <v>965.65</v>
      </c>
      <c r="O709" s="252">
        <v>965.65</v>
      </c>
      <c r="P709" s="252">
        <v>965.65</v>
      </c>
      <c r="Q709" s="101" t="b">
        <f t="shared" si="193"/>
        <v>1</v>
      </c>
      <c r="R709" s="101" t="b">
        <f t="shared" si="194"/>
        <v>1</v>
      </c>
      <c r="S709" s="101" t="b">
        <f t="shared" si="195"/>
        <v>1</v>
      </c>
      <c r="T709" s="167">
        <f t="shared" si="196"/>
        <v>0</v>
      </c>
      <c r="U709" s="167">
        <f t="shared" si="197"/>
        <v>0</v>
      </c>
      <c r="V709" s="167">
        <f t="shared" si="198"/>
        <v>0</v>
      </c>
    </row>
    <row r="710" spans="1:22" s="97" customFormat="1" ht="20.100000000000001" customHeight="1">
      <c r="A710" s="222"/>
      <c r="B710" s="180" t="s">
        <v>145</v>
      </c>
      <c r="C710" s="230" t="s">
        <v>311</v>
      </c>
      <c r="D710" s="230">
        <v>240</v>
      </c>
      <c r="E710" s="252">
        <f>'Вед-я стр-ра'!H271</f>
        <v>3931.0600000000004</v>
      </c>
      <c r="F710" s="252">
        <f>'Вед-я стр-ра'!I271</f>
        <v>3962.8500000000004</v>
      </c>
      <c r="G710" s="252">
        <f>'Вед-я стр-ра'!J271</f>
        <v>3995.9100000000003</v>
      </c>
      <c r="H710" s="252">
        <v>3931.0600000000004</v>
      </c>
      <c r="I710" s="252">
        <v>3962.8500000000004</v>
      </c>
      <c r="J710" s="252">
        <v>3995.9100000000003</v>
      </c>
      <c r="K710" s="180" t="s">
        <v>145</v>
      </c>
      <c r="L710" s="230" t="s">
        <v>311</v>
      </c>
      <c r="M710" s="230">
        <v>240</v>
      </c>
      <c r="N710" s="252">
        <v>3931.0600000000004</v>
      </c>
      <c r="O710" s="252">
        <v>3962.8500000000004</v>
      </c>
      <c r="P710" s="252">
        <v>3995.9100000000003</v>
      </c>
      <c r="Q710" s="101" t="b">
        <f t="shared" si="193"/>
        <v>1</v>
      </c>
      <c r="R710" s="101" t="b">
        <f t="shared" si="194"/>
        <v>1</v>
      </c>
      <c r="S710" s="101" t="b">
        <f t="shared" si="195"/>
        <v>1</v>
      </c>
      <c r="T710" s="167">
        <f t="shared" si="196"/>
        <v>0</v>
      </c>
      <c r="U710" s="167">
        <f t="shared" si="197"/>
        <v>0</v>
      </c>
      <c r="V710" s="167">
        <f t="shared" si="198"/>
        <v>0</v>
      </c>
    </row>
    <row r="711" spans="1:22" s="97" customFormat="1" ht="20.100000000000001" customHeight="1">
      <c r="A711" s="222"/>
      <c r="B711" s="254" t="s">
        <v>137</v>
      </c>
      <c r="C711" s="230" t="s">
        <v>311</v>
      </c>
      <c r="D711" s="230">
        <v>850</v>
      </c>
      <c r="E711" s="252">
        <f>'Вед-я стр-ра'!H272</f>
        <v>21.439999999999998</v>
      </c>
      <c r="F711" s="252">
        <f>'Вед-я стр-ра'!I272</f>
        <v>21.14</v>
      </c>
      <c r="G711" s="252">
        <f>'Вед-я стр-ра'!J272</f>
        <v>21.14</v>
      </c>
      <c r="H711" s="531">
        <v>21.439999999999998</v>
      </c>
      <c r="I711" s="531">
        <v>21.14</v>
      </c>
      <c r="J711" s="531">
        <v>21.14</v>
      </c>
      <c r="K711" s="254" t="s">
        <v>137</v>
      </c>
      <c r="L711" s="230" t="s">
        <v>311</v>
      </c>
      <c r="M711" s="230">
        <v>850</v>
      </c>
      <c r="N711" s="252">
        <v>21.439999999999998</v>
      </c>
      <c r="O711" s="252">
        <v>21.14</v>
      </c>
      <c r="P711" s="252">
        <v>21.14</v>
      </c>
      <c r="Q711" s="101" t="b">
        <f t="shared" si="193"/>
        <v>1</v>
      </c>
      <c r="R711" s="101" t="b">
        <f t="shared" si="194"/>
        <v>1</v>
      </c>
      <c r="S711" s="101" t="b">
        <f t="shared" si="195"/>
        <v>1</v>
      </c>
      <c r="T711" s="167">
        <f t="shared" si="196"/>
        <v>0</v>
      </c>
      <c r="U711" s="167">
        <f t="shared" si="197"/>
        <v>0</v>
      </c>
      <c r="V711" s="167">
        <f t="shared" si="198"/>
        <v>0</v>
      </c>
    </row>
    <row r="712" spans="1:22" s="97" customFormat="1" ht="20.100000000000001" customHeight="1">
      <c r="A712" s="222"/>
      <c r="B712" s="175" t="s">
        <v>161</v>
      </c>
      <c r="C712" s="230" t="s">
        <v>312</v>
      </c>
      <c r="D712" s="230" t="s">
        <v>90</v>
      </c>
      <c r="E712" s="252">
        <f>E713</f>
        <v>47793.840000000004</v>
      </c>
      <c r="F712" s="252">
        <f>F713</f>
        <v>47793.840000000004</v>
      </c>
      <c r="G712" s="252">
        <f>G713</f>
        <v>47793.840000000004</v>
      </c>
      <c r="H712" s="252">
        <v>47793.840000000004</v>
      </c>
      <c r="I712" s="252">
        <v>47793.840000000004</v>
      </c>
      <c r="J712" s="252">
        <v>47793.840000000004</v>
      </c>
      <c r="K712" s="175" t="s">
        <v>161</v>
      </c>
      <c r="L712" s="230" t="s">
        <v>312</v>
      </c>
      <c r="M712" s="230" t="s">
        <v>90</v>
      </c>
      <c r="N712" s="252">
        <v>47768.409999999996</v>
      </c>
      <c r="O712" s="252">
        <v>47768.409999999996</v>
      </c>
      <c r="P712" s="252">
        <v>47768.409999999996</v>
      </c>
      <c r="Q712" s="101" t="b">
        <f t="shared" si="193"/>
        <v>1</v>
      </c>
      <c r="R712" s="101" t="b">
        <f t="shared" si="194"/>
        <v>1</v>
      </c>
      <c r="S712" s="101" t="b">
        <f t="shared" si="195"/>
        <v>1</v>
      </c>
      <c r="T712" s="167">
        <f t="shared" si="196"/>
        <v>25.430000000007567</v>
      </c>
      <c r="U712" s="167">
        <f t="shared" si="197"/>
        <v>25.430000000007567</v>
      </c>
      <c r="V712" s="167">
        <f t="shared" si="198"/>
        <v>25.430000000007567</v>
      </c>
    </row>
    <row r="713" spans="1:22" s="97" customFormat="1" ht="20.100000000000001" customHeight="1">
      <c r="A713" s="222"/>
      <c r="B713" s="180" t="s">
        <v>144</v>
      </c>
      <c r="C713" s="230" t="s">
        <v>312</v>
      </c>
      <c r="D713" s="230">
        <v>120</v>
      </c>
      <c r="E713" s="252">
        <f>'Вед-я стр-ра'!H274</f>
        <v>47793.840000000004</v>
      </c>
      <c r="F713" s="252">
        <f>'Вед-я стр-ра'!I274</f>
        <v>47793.840000000004</v>
      </c>
      <c r="G713" s="252">
        <f>'Вед-я стр-ра'!J274</f>
        <v>47793.840000000004</v>
      </c>
      <c r="H713" s="252">
        <v>47793.840000000004</v>
      </c>
      <c r="I713" s="252">
        <v>47793.840000000004</v>
      </c>
      <c r="J713" s="252">
        <v>47793.840000000004</v>
      </c>
      <c r="K713" s="180" t="s">
        <v>144</v>
      </c>
      <c r="L713" s="230" t="s">
        <v>312</v>
      </c>
      <c r="M713" s="230">
        <v>120</v>
      </c>
      <c r="N713" s="252">
        <v>47768.409999999996</v>
      </c>
      <c r="O713" s="252">
        <v>47768.409999999996</v>
      </c>
      <c r="P713" s="252">
        <v>47768.409999999996</v>
      </c>
      <c r="Q713" s="101" t="b">
        <f t="shared" si="193"/>
        <v>1</v>
      </c>
      <c r="R713" s="101" t="b">
        <f t="shared" si="194"/>
        <v>1</v>
      </c>
      <c r="S713" s="101" t="b">
        <f t="shared" si="195"/>
        <v>1</v>
      </c>
      <c r="T713" s="167">
        <f t="shared" si="196"/>
        <v>25.430000000007567</v>
      </c>
      <c r="U713" s="167">
        <f t="shared" si="197"/>
        <v>25.430000000007567</v>
      </c>
      <c r="V713" s="167">
        <f t="shared" si="198"/>
        <v>25.430000000007567</v>
      </c>
    </row>
    <row r="714" spans="1:22" s="97" customFormat="1" ht="20.100000000000001" customHeight="1">
      <c r="A714" s="222"/>
      <c r="B714" s="255"/>
      <c r="C714" s="230"/>
      <c r="D714" s="230"/>
      <c r="E714" s="252"/>
      <c r="F714" s="252"/>
      <c r="G714" s="252"/>
      <c r="H714" s="252"/>
      <c r="I714" s="252"/>
      <c r="J714" s="252"/>
      <c r="K714" s="255"/>
      <c r="L714" s="230"/>
      <c r="M714" s="230"/>
      <c r="N714" s="252"/>
      <c r="O714" s="252"/>
      <c r="P714" s="252"/>
      <c r="Q714" s="101" t="b">
        <f t="shared" si="193"/>
        <v>1</v>
      </c>
      <c r="R714" s="101" t="b">
        <f t="shared" si="194"/>
        <v>1</v>
      </c>
      <c r="S714" s="101" t="b">
        <f t="shared" si="195"/>
        <v>1</v>
      </c>
      <c r="T714" s="167">
        <f t="shared" si="196"/>
        <v>0</v>
      </c>
      <c r="U714" s="167">
        <f t="shared" si="197"/>
        <v>0</v>
      </c>
      <c r="V714" s="167">
        <f t="shared" si="198"/>
        <v>0</v>
      </c>
    </row>
    <row r="715" spans="1:22" s="101" customFormat="1" ht="20.100000000000001" customHeight="1">
      <c r="A715" s="345"/>
      <c r="B715" s="232" t="s">
        <v>209</v>
      </c>
      <c r="C715" s="233" t="s">
        <v>337</v>
      </c>
      <c r="D715" s="233" t="s">
        <v>90</v>
      </c>
      <c r="E715" s="234">
        <f>E716</f>
        <v>51985.120000000003</v>
      </c>
      <c r="F715" s="234">
        <f>F716</f>
        <v>52035</v>
      </c>
      <c r="G715" s="234">
        <f>G716</f>
        <v>52058.22</v>
      </c>
      <c r="H715" s="234">
        <v>51985.120000000003</v>
      </c>
      <c r="I715" s="234">
        <v>52035</v>
      </c>
      <c r="J715" s="234">
        <v>52058.22</v>
      </c>
      <c r="K715" s="232" t="s">
        <v>209</v>
      </c>
      <c r="L715" s="233" t="s">
        <v>337</v>
      </c>
      <c r="M715" s="233" t="s">
        <v>90</v>
      </c>
      <c r="N715" s="234">
        <v>51970.070000000007</v>
      </c>
      <c r="O715" s="234">
        <v>52019.950000000004</v>
      </c>
      <c r="P715" s="234">
        <v>52043.17</v>
      </c>
      <c r="Q715" s="101" t="b">
        <f t="shared" si="193"/>
        <v>1</v>
      </c>
      <c r="R715" s="101" t="b">
        <f t="shared" si="194"/>
        <v>1</v>
      </c>
      <c r="S715" s="101" t="b">
        <f t="shared" si="195"/>
        <v>1</v>
      </c>
      <c r="T715" s="167">
        <f t="shared" si="196"/>
        <v>15.049999999995634</v>
      </c>
      <c r="U715" s="167">
        <f t="shared" si="197"/>
        <v>15.049999999995634</v>
      </c>
      <c r="V715" s="167">
        <f t="shared" si="198"/>
        <v>15.05000000000291</v>
      </c>
    </row>
    <row r="716" spans="1:22" s="102" customFormat="1" ht="20.100000000000001" customHeight="1">
      <c r="A716" s="346"/>
      <c r="B716" s="241" t="s">
        <v>210</v>
      </c>
      <c r="C716" s="236" t="s">
        <v>338</v>
      </c>
      <c r="D716" s="236" t="s">
        <v>90</v>
      </c>
      <c r="E716" s="237">
        <f>E717+E721+E726+E723</f>
        <v>51985.120000000003</v>
      </c>
      <c r="F716" s="237">
        <f>F717+F721+F726+F723</f>
        <v>52035</v>
      </c>
      <c r="G716" s="237">
        <f>G717+G721+G726+G723</f>
        <v>52058.22</v>
      </c>
      <c r="H716" s="237">
        <v>51985.120000000003</v>
      </c>
      <c r="I716" s="237">
        <v>52035</v>
      </c>
      <c r="J716" s="237">
        <v>52058.22</v>
      </c>
      <c r="K716" s="241" t="s">
        <v>210</v>
      </c>
      <c r="L716" s="236" t="s">
        <v>338</v>
      </c>
      <c r="M716" s="236" t="s">
        <v>90</v>
      </c>
      <c r="N716" s="237">
        <v>51970.070000000007</v>
      </c>
      <c r="O716" s="237">
        <v>52019.950000000004</v>
      </c>
      <c r="P716" s="237">
        <v>52043.17</v>
      </c>
      <c r="Q716" s="101" t="b">
        <f t="shared" si="193"/>
        <v>1</v>
      </c>
      <c r="R716" s="101" t="b">
        <f t="shared" si="194"/>
        <v>1</v>
      </c>
      <c r="S716" s="101" t="b">
        <f t="shared" si="195"/>
        <v>1</v>
      </c>
      <c r="T716" s="167">
        <f t="shared" si="196"/>
        <v>15.049999999995634</v>
      </c>
      <c r="U716" s="167">
        <f t="shared" si="197"/>
        <v>15.049999999995634</v>
      </c>
      <c r="V716" s="167">
        <f t="shared" si="198"/>
        <v>15.05000000000291</v>
      </c>
    </row>
    <row r="717" spans="1:22" s="97" customFormat="1" ht="20.100000000000001" customHeight="1">
      <c r="A717" s="222"/>
      <c r="B717" s="180" t="s">
        <v>151</v>
      </c>
      <c r="C717" s="251" t="s">
        <v>339</v>
      </c>
      <c r="D717" s="239" t="s">
        <v>90</v>
      </c>
      <c r="E717" s="240">
        <f>E718+E719+E720</f>
        <v>9983.4399999999987</v>
      </c>
      <c r="F717" s="240">
        <f>F718+F719+F720</f>
        <v>10032.4</v>
      </c>
      <c r="G717" s="240">
        <f>G718+G719+G720</f>
        <v>10054.67</v>
      </c>
      <c r="H717" s="240">
        <v>9983.4399999999987</v>
      </c>
      <c r="I717" s="240">
        <v>10032.4</v>
      </c>
      <c r="J717" s="240">
        <v>10054.67</v>
      </c>
      <c r="K717" s="180" t="s">
        <v>151</v>
      </c>
      <c r="L717" s="251" t="s">
        <v>339</v>
      </c>
      <c r="M717" s="239" t="s">
        <v>90</v>
      </c>
      <c r="N717" s="240">
        <v>9983.4399999999987</v>
      </c>
      <c r="O717" s="240">
        <v>10032.4</v>
      </c>
      <c r="P717" s="240">
        <v>10054.67</v>
      </c>
      <c r="Q717" s="101" t="b">
        <f t="shared" si="193"/>
        <v>1</v>
      </c>
      <c r="R717" s="101" t="b">
        <f t="shared" si="194"/>
        <v>1</v>
      </c>
      <c r="S717" s="101" t="b">
        <f t="shared" si="195"/>
        <v>1</v>
      </c>
      <c r="T717" s="167">
        <f t="shared" si="196"/>
        <v>0</v>
      </c>
      <c r="U717" s="167">
        <f t="shared" si="197"/>
        <v>0</v>
      </c>
      <c r="V717" s="167">
        <f t="shared" si="198"/>
        <v>0</v>
      </c>
    </row>
    <row r="718" spans="1:22" s="97" customFormat="1" ht="20.100000000000001" customHeight="1">
      <c r="A718" s="222"/>
      <c r="B718" s="180" t="s">
        <v>144</v>
      </c>
      <c r="C718" s="251" t="s">
        <v>339</v>
      </c>
      <c r="D718" s="239" t="s">
        <v>152</v>
      </c>
      <c r="E718" s="252">
        <f>'Вед-я стр-ра'!H473</f>
        <v>667.57</v>
      </c>
      <c r="F718" s="252">
        <f>'Вед-я стр-ра'!I473</f>
        <v>667.57</v>
      </c>
      <c r="G718" s="252">
        <f>'Вед-я стр-ра'!J473</f>
        <v>667.57</v>
      </c>
      <c r="H718" s="252">
        <v>667.57</v>
      </c>
      <c r="I718" s="252">
        <v>667.57</v>
      </c>
      <c r="J718" s="252">
        <v>667.57</v>
      </c>
      <c r="K718" s="180" t="s">
        <v>144</v>
      </c>
      <c r="L718" s="251" t="s">
        <v>339</v>
      </c>
      <c r="M718" s="239" t="s">
        <v>152</v>
      </c>
      <c r="N718" s="252">
        <v>667.57</v>
      </c>
      <c r="O718" s="252">
        <v>667.57</v>
      </c>
      <c r="P718" s="252">
        <v>667.57</v>
      </c>
      <c r="Q718" s="101" t="b">
        <f t="shared" si="193"/>
        <v>1</v>
      </c>
      <c r="R718" s="101" t="b">
        <f t="shared" si="194"/>
        <v>1</v>
      </c>
      <c r="S718" s="101" t="b">
        <f t="shared" si="195"/>
        <v>1</v>
      </c>
      <c r="T718" s="167">
        <f t="shared" si="196"/>
        <v>0</v>
      </c>
      <c r="U718" s="167">
        <f t="shared" si="197"/>
        <v>0</v>
      </c>
      <c r="V718" s="167">
        <f t="shared" si="198"/>
        <v>0</v>
      </c>
    </row>
    <row r="719" spans="1:22" s="97" customFormat="1" ht="20.100000000000001" customHeight="1">
      <c r="A719" s="222"/>
      <c r="B719" s="180" t="s">
        <v>145</v>
      </c>
      <c r="C719" s="251" t="s">
        <v>339</v>
      </c>
      <c r="D719" s="239" t="s">
        <v>153</v>
      </c>
      <c r="E719" s="240">
        <f>'Вед-я стр-ра'!H474</f>
        <v>9273.869999999999</v>
      </c>
      <c r="F719" s="240">
        <f>'Вед-я стр-ра'!I474</f>
        <v>9322.83</v>
      </c>
      <c r="G719" s="240">
        <f>'Вед-я стр-ра'!J474</f>
        <v>9345.1</v>
      </c>
      <c r="H719" s="240">
        <v>9273.869999999999</v>
      </c>
      <c r="I719" s="240">
        <v>9322.83</v>
      </c>
      <c r="J719" s="240">
        <v>9345.1</v>
      </c>
      <c r="K719" s="180" t="s">
        <v>145</v>
      </c>
      <c r="L719" s="251" t="s">
        <v>339</v>
      </c>
      <c r="M719" s="239" t="s">
        <v>153</v>
      </c>
      <c r="N719" s="240">
        <v>9273.869999999999</v>
      </c>
      <c r="O719" s="240">
        <v>9322.83</v>
      </c>
      <c r="P719" s="240">
        <v>9345.1</v>
      </c>
      <c r="Q719" s="101" t="b">
        <f t="shared" si="193"/>
        <v>1</v>
      </c>
      <c r="R719" s="101" t="b">
        <f t="shared" si="194"/>
        <v>1</v>
      </c>
      <c r="S719" s="101" t="b">
        <f t="shared" si="195"/>
        <v>1</v>
      </c>
      <c r="T719" s="167">
        <f t="shared" si="196"/>
        <v>0</v>
      </c>
      <c r="U719" s="167">
        <f t="shared" si="197"/>
        <v>0</v>
      </c>
      <c r="V719" s="167">
        <f t="shared" si="198"/>
        <v>0</v>
      </c>
    </row>
    <row r="720" spans="1:22" s="97" customFormat="1" ht="20.100000000000001" customHeight="1">
      <c r="A720" s="222"/>
      <c r="B720" s="180" t="s">
        <v>137</v>
      </c>
      <c r="C720" s="251" t="s">
        <v>339</v>
      </c>
      <c r="D720" s="239" t="s">
        <v>155</v>
      </c>
      <c r="E720" s="240">
        <f>'Вед-я стр-ра'!H475</f>
        <v>42</v>
      </c>
      <c r="F720" s="240">
        <f>'Вед-я стр-ра'!I475</f>
        <v>42</v>
      </c>
      <c r="G720" s="240">
        <f>'Вед-я стр-ра'!J475</f>
        <v>42</v>
      </c>
      <c r="H720" s="240">
        <v>42</v>
      </c>
      <c r="I720" s="240">
        <v>42</v>
      </c>
      <c r="J720" s="240">
        <v>42</v>
      </c>
      <c r="K720" s="180" t="s">
        <v>137</v>
      </c>
      <c r="L720" s="251" t="s">
        <v>339</v>
      </c>
      <c r="M720" s="239" t="s">
        <v>155</v>
      </c>
      <c r="N720" s="240">
        <v>42</v>
      </c>
      <c r="O720" s="240">
        <v>42</v>
      </c>
      <c r="P720" s="240">
        <v>42</v>
      </c>
      <c r="Q720" s="101" t="b">
        <f t="shared" si="193"/>
        <v>1</v>
      </c>
      <c r="R720" s="101" t="b">
        <f t="shared" si="194"/>
        <v>1</v>
      </c>
      <c r="S720" s="101" t="b">
        <f t="shared" si="195"/>
        <v>1</v>
      </c>
      <c r="T720" s="167">
        <f t="shared" si="196"/>
        <v>0</v>
      </c>
      <c r="U720" s="167">
        <f t="shared" si="197"/>
        <v>0</v>
      </c>
      <c r="V720" s="167">
        <f t="shared" si="198"/>
        <v>0</v>
      </c>
    </row>
    <row r="721" spans="1:22" s="97" customFormat="1" ht="20.100000000000001" customHeight="1">
      <c r="A721" s="222"/>
      <c r="B721" s="180" t="s">
        <v>161</v>
      </c>
      <c r="C721" s="251" t="s">
        <v>340</v>
      </c>
      <c r="D721" s="239" t="s">
        <v>90</v>
      </c>
      <c r="E721" s="240">
        <f>E722</f>
        <v>30670.03</v>
      </c>
      <c r="F721" s="240">
        <f>F722</f>
        <v>30670.03</v>
      </c>
      <c r="G721" s="240">
        <f>G722</f>
        <v>30670.03</v>
      </c>
      <c r="H721" s="240">
        <v>30670.03</v>
      </c>
      <c r="I721" s="240">
        <v>30670.03</v>
      </c>
      <c r="J721" s="240">
        <v>30670.03</v>
      </c>
      <c r="K721" s="180" t="s">
        <v>161</v>
      </c>
      <c r="L721" s="251" t="s">
        <v>340</v>
      </c>
      <c r="M721" s="239" t="s">
        <v>90</v>
      </c>
      <c r="N721" s="240">
        <v>30670.03</v>
      </c>
      <c r="O721" s="240">
        <v>30670.03</v>
      </c>
      <c r="P721" s="240">
        <v>30670.03</v>
      </c>
      <c r="Q721" s="101" t="b">
        <f t="shared" si="193"/>
        <v>1</v>
      </c>
      <c r="R721" s="101" t="b">
        <f t="shared" si="194"/>
        <v>1</v>
      </c>
      <c r="S721" s="101" t="b">
        <f t="shared" si="195"/>
        <v>1</v>
      </c>
      <c r="T721" s="167">
        <f t="shared" si="196"/>
        <v>0</v>
      </c>
      <c r="U721" s="167">
        <f t="shared" si="197"/>
        <v>0</v>
      </c>
      <c r="V721" s="167">
        <f t="shared" si="198"/>
        <v>0</v>
      </c>
    </row>
    <row r="722" spans="1:22" s="97" customFormat="1" ht="20.100000000000001" customHeight="1">
      <c r="A722" s="222"/>
      <c r="B722" s="180" t="s">
        <v>144</v>
      </c>
      <c r="C722" s="251" t="s">
        <v>340</v>
      </c>
      <c r="D722" s="239" t="s">
        <v>152</v>
      </c>
      <c r="E722" s="252">
        <f>'Вед-я стр-ра'!H477</f>
        <v>30670.03</v>
      </c>
      <c r="F722" s="252">
        <f>'Вед-я стр-ра'!I477</f>
        <v>30670.03</v>
      </c>
      <c r="G722" s="252">
        <f>'Вед-я стр-ра'!J477</f>
        <v>30670.03</v>
      </c>
      <c r="H722" s="252">
        <v>30670.03</v>
      </c>
      <c r="I722" s="252">
        <v>30670.03</v>
      </c>
      <c r="J722" s="252">
        <v>30670.03</v>
      </c>
      <c r="K722" s="180" t="s">
        <v>144</v>
      </c>
      <c r="L722" s="251" t="s">
        <v>340</v>
      </c>
      <c r="M722" s="239" t="s">
        <v>152</v>
      </c>
      <c r="N722" s="252">
        <v>30670.03</v>
      </c>
      <c r="O722" s="252">
        <v>30670.03</v>
      </c>
      <c r="P722" s="252">
        <v>30670.03</v>
      </c>
      <c r="Q722" s="101" t="b">
        <f t="shared" si="193"/>
        <v>1</v>
      </c>
      <c r="R722" s="101" t="b">
        <f t="shared" si="194"/>
        <v>1</v>
      </c>
      <c r="S722" s="101" t="b">
        <f t="shared" si="195"/>
        <v>1</v>
      </c>
      <c r="T722" s="167">
        <f t="shared" si="196"/>
        <v>0</v>
      </c>
      <c r="U722" s="167">
        <f t="shared" si="197"/>
        <v>0</v>
      </c>
      <c r="V722" s="167">
        <f t="shared" si="198"/>
        <v>0</v>
      </c>
    </row>
    <row r="723" spans="1:22" s="97" customFormat="1" ht="20.100000000000001" customHeight="1">
      <c r="A723" s="222"/>
      <c r="B723" s="178" t="s">
        <v>254</v>
      </c>
      <c r="C723" s="37" t="s">
        <v>808</v>
      </c>
      <c r="D723" s="37" t="s">
        <v>90</v>
      </c>
      <c r="E723" s="183">
        <f>SUM(E724:E725)</f>
        <v>8357.25</v>
      </c>
      <c r="F723" s="183">
        <f>SUM(F724:F725)</f>
        <v>8358.17</v>
      </c>
      <c r="G723" s="183">
        <f>SUM(G724:G725)</f>
        <v>8359.1200000000008</v>
      </c>
      <c r="H723" s="183">
        <v>8357.25</v>
      </c>
      <c r="I723" s="183">
        <v>8358.17</v>
      </c>
      <c r="J723" s="183">
        <v>8359.1200000000008</v>
      </c>
      <c r="K723" s="178" t="s">
        <v>254</v>
      </c>
      <c r="L723" s="37" t="s">
        <v>808</v>
      </c>
      <c r="M723" s="37" t="s">
        <v>90</v>
      </c>
      <c r="N723" s="183">
        <v>8342.2000000000007</v>
      </c>
      <c r="O723" s="183">
        <v>8343.1200000000008</v>
      </c>
      <c r="P723" s="183">
        <v>8344.07</v>
      </c>
      <c r="Q723" s="101" t="b">
        <f t="shared" si="193"/>
        <v>1</v>
      </c>
      <c r="R723" s="101" t="b">
        <f t="shared" si="194"/>
        <v>1</v>
      </c>
      <c r="S723" s="101" t="b">
        <f t="shared" si="195"/>
        <v>1</v>
      </c>
      <c r="T723" s="167">
        <f t="shared" si="196"/>
        <v>15.049999999999272</v>
      </c>
      <c r="U723" s="167">
        <f t="shared" si="197"/>
        <v>15.049999999999272</v>
      </c>
      <c r="V723" s="167">
        <f t="shared" si="198"/>
        <v>15.050000000001091</v>
      </c>
    </row>
    <row r="724" spans="1:22" s="97" customFormat="1" ht="20.100000000000001" customHeight="1">
      <c r="A724" s="222"/>
      <c r="B724" s="180" t="s">
        <v>143</v>
      </c>
      <c r="C724" s="37" t="s">
        <v>808</v>
      </c>
      <c r="D724" s="37" t="s">
        <v>157</v>
      </c>
      <c r="E724" s="183">
        <f>'Вед-я стр-ра'!H479</f>
        <v>7980.3</v>
      </c>
      <c r="F724" s="183">
        <f>'Вед-я стр-ра'!I479</f>
        <v>7980.3</v>
      </c>
      <c r="G724" s="183">
        <f>'Вед-я стр-ра'!J479</f>
        <v>7980.3</v>
      </c>
      <c r="H724" s="183">
        <v>7980.3</v>
      </c>
      <c r="I724" s="183">
        <v>7980.3</v>
      </c>
      <c r="J724" s="183">
        <v>7980.3</v>
      </c>
      <c r="K724" s="180" t="s">
        <v>143</v>
      </c>
      <c r="L724" s="37" t="s">
        <v>808</v>
      </c>
      <c r="M724" s="37" t="s">
        <v>157</v>
      </c>
      <c r="N724" s="183">
        <v>7965.25</v>
      </c>
      <c r="O724" s="183">
        <v>7965.25</v>
      </c>
      <c r="P724" s="183">
        <v>7965.25</v>
      </c>
      <c r="Q724" s="101" t="b">
        <f t="shared" si="193"/>
        <v>1</v>
      </c>
      <c r="R724" s="101" t="b">
        <f t="shared" si="194"/>
        <v>1</v>
      </c>
      <c r="S724" s="101" t="b">
        <f t="shared" si="195"/>
        <v>1</v>
      </c>
      <c r="T724" s="167">
        <f t="shared" si="196"/>
        <v>15.050000000000182</v>
      </c>
      <c r="U724" s="167">
        <f t="shared" si="197"/>
        <v>15.050000000000182</v>
      </c>
      <c r="V724" s="167">
        <f t="shared" si="198"/>
        <v>15.050000000000182</v>
      </c>
    </row>
    <row r="725" spans="1:22" s="97" customFormat="1" ht="20.100000000000001" customHeight="1">
      <c r="A725" s="222"/>
      <c r="B725" s="182" t="s">
        <v>145</v>
      </c>
      <c r="C725" s="37" t="s">
        <v>808</v>
      </c>
      <c r="D725" s="37" t="s">
        <v>153</v>
      </c>
      <c r="E725" s="183">
        <f>'Вед-я стр-ра'!H480</f>
        <v>376.95</v>
      </c>
      <c r="F725" s="183">
        <f>'Вед-я стр-ра'!I480</f>
        <v>377.87</v>
      </c>
      <c r="G725" s="183">
        <f>'Вед-я стр-ра'!J480</f>
        <v>378.82</v>
      </c>
      <c r="H725" s="183">
        <v>376.95</v>
      </c>
      <c r="I725" s="183">
        <v>377.87</v>
      </c>
      <c r="J725" s="183">
        <v>378.82</v>
      </c>
      <c r="K725" s="182" t="s">
        <v>145</v>
      </c>
      <c r="L725" s="37" t="s">
        <v>808</v>
      </c>
      <c r="M725" s="37" t="s">
        <v>153</v>
      </c>
      <c r="N725" s="183">
        <v>376.95</v>
      </c>
      <c r="O725" s="183">
        <v>377.87</v>
      </c>
      <c r="P725" s="183">
        <v>378.82</v>
      </c>
      <c r="Q725" s="101" t="b">
        <f t="shared" si="193"/>
        <v>1</v>
      </c>
      <c r="R725" s="101" t="b">
        <f t="shared" si="194"/>
        <v>1</v>
      </c>
      <c r="S725" s="101" t="b">
        <f t="shared" si="195"/>
        <v>1</v>
      </c>
      <c r="T725" s="167">
        <f t="shared" si="196"/>
        <v>0</v>
      </c>
      <c r="U725" s="167">
        <f t="shared" si="197"/>
        <v>0</v>
      </c>
      <c r="V725" s="167">
        <f t="shared" si="198"/>
        <v>0</v>
      </c>
    </row>
    <row r="726" spans="1:22" s="97" customFormat="1" ht="20.100000000000001" customHeight="1">
      <c r="A726" s="222" t="s">
        <v>799</v>
      </c>
      <c r="B726" s="182" t="s">
        <v>848</v>
      </c>
      <c r="C726" s="251" t="s">
        <v>342</v>
      </c>
      <c r="D726" s="239" t="s">
        <v>90</v>
      </c>
      <c r="E726" s="240">
        <f>SUM(E727:E728)</f>
        <v>2974.3999999999996</v>
      </c>
      <c r="F726" s="240">
        <f>SUM(F727:F728)</f>
        <v>2974.3999999999996</v>
      </c>
      <c r="G726" s="240">
        <f>SUM(G727:G728)</f>
        <v>2974.3999999999996</v>
      </c>
      <c r="H726" s="240">
        <v>2974.3999999999996</v>
      </c>
      <c r="I726" s="240">
        <v>2974.3999999999996</v>
      </c>
      <c r="J726" s="240">
        <v>2974.3999999999996</v>
      </c>
      <c r="K726" s="182" t="s">
        <v>848</v>
      </c>
      <c r="L726" s="251" t="s">
        <v>342</v>
      </c>
      <c r="M726" s="239" t="s">
        <v>90</v>
      </c>
      <c r="N726" s="240">
        <v>2974.3999999999996</v>
      </c>
      <c r="O726" s="240">
        <v>2974.3999999999996</v>
      </c>
      <c r="P726" s="240">
        <v>2974.3999999999996</v>
      </c>
      <c r="Q726" s="101" t="b">
        <f t="shared" si="193"/>
        <v>1</v>
      </c>
      <c r="R726" s="101" t="b">
        <f t="shared" si="194"/>
        <v>1</v>
      </c>
      <c r="S726" s="101" t="b">
        <f t="shared" si="195"/>
        <v>1</v>
      </c>
      <c r="T726" s="167">
        <f t="shared" si="196"/>
        <v>0</v>
      </c>
      <c r="U726" s="167">
        <f t="shared" si="197"/>
        <v>0</v>
      </c>
      <c r="V726" s="167">
        <f t="shared" si="198"/>
        <v>0</v>
      </c>
    </row>
    <row r="727" spans="1:22" s="97" customFormat="1" ht="20.100000000000001" customHeight="1">
      <c r="A727" s="222"/>
      <c r="B727" s="180" t="s">
        <v>144</v>
      </c>
      <c r="C727" s="251" t="s">
        <v>342</v>
      </c>
      <c r="D727" s="239" t="s">
        <v>152</v>
      </c>
      <c r="E727" s="252">
        <f>'Вед-я стр-ра'!H482</f>
        <v>2837.39</v>
      </c>
      <c r="F727" s="252">
        <f>'Вед-я стр-ра'!I482</f>
        <v>2837.39</v>
      </c>
      <c r="G727" s="252">
        <f>'Вед-я стр-ра'!J482</f>
        <v>2837.39</v>
      </c>
      <c r="H727" s="252">
        <v>2837.39</v>
      </c>
      <c r="I727" s="252">
        <v>2837.39</v>
      </c>
      <c r="J727" s="252">
        <v>2837.39</v>
      </c>
      <c r="K727" s="180" t="s">
        <v>144</v>
      </c>
      <c r="L727" s="251" t="s">
        <v>342</v>
      </c>
      <c r="M727" s="239" t="s">
        <v>152</v>
      </c>
      <c r="N727" s="252">
        <v>2837.39</v>
      </c>
      <c r="O727" s="252">
        <v>2837.39</v>
      </c>
      <c r="P727" s="252">
        <v>2837.39</v>
      </c>
      <c r="Q727" s="101" t="b">
        <f t="shared" si="193"/>
        <v>1</v>
      </c>
      <c r="R727" s="101" t="b">
        <f t="shared" si="194"/>
        <v>1</v>
      </c>
      <c r="S727" s="101" t="b">
        <f t="shared" si="195"/>
        <v>1</v>
      </c>
      <c r="T727" s="167">
        <f t="shared" si="196"/>
        <v>0</v>
      </c>
      <c r="U727" s="167">
        <f t="shared" si="197"/>
        <v>0</v>
      </c>
      <c r="V727" s="167">
        <f t="shared" si="198"/>
        <v>0</v>
      </c>
    </row>
    <row r="728" spans="1:22" s="97" customFormat="1" ht="20.100000000000001" customHeight="1">
      <c r="A728" s="222"/>
      <c r="B728" s="182" t="s">
        <v>145</v>
      </c>
      <c r="C728" s="251" t="s">
        <v>342</v>
      </c>
      <c r="D728" s="239" t="s">
        <v>153</v>
      </c>
      <c r="E728" s="252">
        <f>'Вед-я стр-ра'!H483</f>
        <v>137.01</v>
      </c>
      <c r="F728" s="252">
        <f>'Вед-я стр-ра'!I483</f>
        <v>137.01</v>
      </c>
      <c r="G728" s="252">
        <f>'Вед-я стр-ра'!J483</f>
        <v>137.01</v>
      </c>
      <c r="H728" s="252">
        <v>137.01</v>
      </c>
      <c r="I728" s="252">
        <v>137.01</v>
      </c>
      <c r="J728" s="252">
        <v>137.01</v>
      </c>
      <c r="K728" s="182" t="s">
        <v>145</v>
      </c>
      <c r="L728" s="251" t="s">
        <v>342</v>
      </c>
      <c r="M728" s="239" t="s">
        <v>153</v>
      </c>
      <c r="N728" s="252">
        <v>137.01</v>
      </c>
      <c r="O728" s="252">
        <v>137.01</v>
      </c>
      <c r="P728" s="252">
        <v>137.01</v>
      </c>
      <c r="Q728" s="101" t="b">
        <f t="shared" si="193"/>
        <v>1</v>
      </c>
      <c r="R728" s="101" t="b">
        <f t="shared" si="194"/>
        <v>1</v>
      </c>
      <c r="S728" s="101" t="b">
        <f t="shared" si="195"/>
        <v>1</v>
      </c>
      <c r="T728" s="167">
        <f t="shared" si="196"/>
        <v>0</v>
      </c>
      <c r="U728" s="167">
        <f t="shared" si="197"/>
        <v>0</v>
      </c>
      <c r="V728" s="167">
        <f t="shared" si="198"/>
        <v>0</v>
      </c>
    </row>
    <row r="729" spans="1:22" s="97" customFormat="1" ht="20.100000000000001" customHeight="1">
      <c r="A729" s="222"/>
      <c r="B729" s="255"/>
      <c r="C729" s="251"/>
      <c r="D729" s="230"/>
      <c r="E729" s="240"/>
      <c r="F729" s="240"/>
      <c r="G729" s="240"/>
      <c r="H729" s="240"/>
      <c r="I729" s="240"/>
      <c r="J729" s="240"/>
      <c r="K729" s="255"/>
      <c r="L729" s="251"/>
      <c r="M729" s="230"/>
      <c r="N729" s="240"/>
      <c r="O729" s="240"/>
      <c r="P729" s="240"/>
      <c r="Q729" s="101" t="b">
        <f t="shared" si="193"/>
        <v>1</v>
      </c>
      <c r="R729" s="101" t="b">
        <f t="shared" si="194"/>
        <v>1</v>
      </c>
      <c r="S729" s="101" t="b">
        <f t="shared" si="195"/>
        <v>1</v>
      </c>
      <c r="T729" s="167">
        <f t="shared" si="196"/>
        <v>0</v>
      </c>
      <c r="U729" s="167">
        <f t="shared" si="197"/>
        <v>0</v>
      </c>
      <c r="V729" s="167">
        <f t="shared" si="198"/>
        <v>0</v>
      </c>
    </row>
    <row r="730" spans="1:22" s="101" customFormat="1" ht="20.100000000000001" customHeight="1">
      <c r="A730" s="345"/>
      <c r="B730" s="232" t="s">
        <v>612</v>
      </c>
      <c r="C730" s="233" t="s">
        <v>345</v>
      </c>
      <c r="D730" s="233" t="s">
        <v>90</v>
      </c>
      <c r="E730" s="234">
        <f>E731+E738</f>
        <v>20334.009999999998</v>
      </c>
      <c r="F730" s="234">
        <f>F731+F738</f>
        <v>20345.699999999997</v>
      </c>
      <c r="G730" s="234">
        <f>G731+G738</f>
        <v>20357.859999999997</v>
      </c>
      <c r="H730" s="234">
        <v>20334.009999999998</v>
      </c>
      <c r="I730" s="234">
        <v>20345.699999999997</v>
      </c>
      <c r="J730" s="234">
        <v>20357.859999999997</v>
      </c>
      <c r="K730" s="232" t="s">
        <v>612</v>
      </c>
      <c r="L730" s="233" t="s">
        <v>345</v>
      </c>
      <c r="M730" s="233" t="s">
        <v>90</v>
      </c>
      <c r="N730" s="234">
        <v>20334.009999999998</v>
      </c>
      <c r="O730" s="234">
        <v>20345.699999999997</v>
      </c>
      <c r="P730" s="234">
        <v>20357.859999999997</v>
      </c>
      <c r="Q730" s="101" t="b">
        <f t="shared" si="193"/>
        <v>1</v>
      </c>
      <c r="R730" s="101" t="b">
        <f t="shared" si="194"/>
        <v>1</v>
      </c>
      <c r="S730" s="101" t="b">
        <f t="shared" si="195"/>
        <v>1</v>
      </c>
      <c r="T730" s="167">
        <f t="shared" si="196"/>
        <v>0</v>
      </c>
      <c r="U730" s="167">
        <f t="shared" si="197"/>
        <v>0</v>
      </c>
      <c r="V730" s="167">
        <f t="shared" si="198"/>
        <v>0</v>
      </c>
    </row>
    <row r="731" spans="1:22" s="102" customFormat="1" ht="20.100000000000001" customHeight="1">
      <c r="A731" s="346"/>
      <c r="B731" s="241" t="s">
        <v>613</v>
      </c>
      <c r="C731" s="236" t="s">
        <v>362</v>
      </c>
      <c r="D731" s="236" t="s">
        <v>90</v>
      </c>
      <c r="E731" s="237">
        <f>E732+E736</f>
        <v>19629.64</v>
      </c>
      <c r="F731" s="237">
        <f t="shared" ref="F731:G731" si="201">F732+F736</f>
        <v>19641.329999999998</v>
      </c>
      <c r="G731" s="237">
        <f t="shared" si="201"/>
        <v>19653.489999999998</v>
      </c>
      <c r="H731" s="237">
        <v>19629.64</v>
      </c>
      <c r="I731" s="237">
        <v>19641.329999999998</v>
      </c>
      <c r="J731" s="237">
        <v>19653.489999999998</v>
      </c>
      <c r="K731" s="241" t="s">
        <v>613</v>
      </c>
      <c r="L731" s="236" t="s">
        <v>362</v>
      </c>
      <c r="M731" s="236" t="s">
        <v>90</v>
      </c>
      <c r="N731" s="237">
        <v>19629.64</v>
      </c>
      <c r="O731" s="237">
        <v>19641.329999999998</v>
      </c>
      <c r="P731" s="237">
        <v>19653.489999999998</v>
      </c>
      <c r="Q731" s="101" t="b">
        <f t="shared" si="193"/>
        <v>1</v>
      </c>
      <c r="R731" s="101" t="b">
        <f t="shared" si="194"/>
        <v>1</v>
      </c>
      <c r="S731" s="101" t="b">
        <f t="shared" si="195"/>
        <v>1</v>
      </c>
      <c r="T731" s="167">
        <f t="shared" si="196"/>
        <v>0</v>
      </c>
      <c r="U731" s="167">
        <f t="shared" si="197"/>
        <v>0</v>
      </c>
      <c r="V731" s="167">
        <f t="shared" si="198"/>
        <v>0</v>
      </c>
    </row>
    <row r="732" spans="1:22" s="97" customFormat="1" ht="20.100000000000001" customHeight="1">
      <c r="A732" s="222"/>
      <c r="B732" s="178" t="s">
        <v>151</v>
      </c>
      <c r="C732" s="239" t="s">
        <v>363</v>
      </c>
      <c r="D732" s="239" t="s">
        <v>90</v>
      </c>
      <c r="E732" s="240">
        <f>SUM(E733:E735)</f>
        <v>1733.61</v>
      </c>
      <c r="F732" s="240">
        <f>SUM(F733:F735)</f>
        <v>1745.3</v>
      </c>
      <c r="G732" s="240">
        <f>SUM(G733:G735)</f>
        <v>1757.46</v>
      </c>
      <c r="H732" s="240">
        <v>1733.61</v>
      </c>
      <c r="I732" s="240">
        <v>1745.3</v>
      </c>
      <c r="J732" s="240">
        <v>1757.46</v>
      </c>
      <c r="K732" s="178" t="s">
        <v>151</v>
      </c>
      <c r="L732" s="239" t="s">
        <v>363</v>
      </c>
      <c r="M732" s="239" t="s">
        <v>90</v>
      </c>
      <c r="N732" s="240">
        <v>1733.61</v>
      </c>
      <c r="O732" s="240">
        <v>1745.3</v>
      </c>
      <c r="P732" s="240">
        <v>1757.46</v>
      </c>
      <c r="Q732" s="101" t="b">
        <f t="shared" si="193"/>
        <v>1</v>
      </c>
      <c r="R732" s="101" t="b">
        <f t="shared" si="194"/>
        <v>1</v>
      </c>
      <c r="S732" s="101" t="b">
        <f t="shared" si="195"/>
        <v>1</v>
      </c>
      <c r="T732" s="167">
        <f t="shared" si="196"/>
        <v>0</v>
      </c>
      <c r="U732" s="167">
        <f t="shared" si="197"/>
        <v>0</v>
      </c>
      <c r="V732" s="167">
        <f t="shared" si="198"/>
        <v>0</v>
      </c>
    </row>
    <row r="733" spans="1:22" s="97" customFormat="1" ht="20.100000000000001" customHeight="1">
      <c r="A733" s="222"/>
      <c r="B733" s="180" t="s">
        <v>144</v>
      </c>
      <c r="C733" s="239" t="s">
        <v>363</v>
      </c>
      <c r="D733" s="239" t="s">
        <v>152</v>
      </c>
      <c r="E733" s="240">
        <f>'Вед-я стр-ра'!H644</f>
        <v>357.33</v>
      </c>
      <c r="F733" s="240">
        <f>'Вед-я стр-ра'!I644</f>
        <v>357.33</v>
      </c>
      <c r="G733" s="240">
        <f>'Вед-я стр-ра'!J644</f>
        <v>357.33</v>
      </c>
      <c r="H733" s="240">
        <v>357.33</v>
      </c>
      <c r="I733" s="240">
        <v>357.33</v>
      </c>
      <c r="J733" s="240">
        <v>357.33</v>
      </c>
      <c r="K733" s="180" t="s">
        <v>144</v>
      </c>
      <c r="L733" s="239" t="s">
        <v>363</v>
      </c>
      <c r="M733" s="239" t="s">
        <v>152</v>
      </c>
      <c r="N733" s="240">
        <v>357.33</v>
      </c>
      <c r="O733" s="240">
        <v>357.33</v>
      </c>
      <c r="P733" s="240">
        <v>357.33</v>
      </c>
      <c r="Q733" s="101" t="b">
        <f t="shared" si="193"/>
        <v>1</v>
      </c>
      <c r="R733" s="101" t="b">
        <f t="shared" si="194"/>
        <v>1</v>
      </c>
      <c r="S733" s="101" t="b">
        <f t="shared" si="195"/>
        <v>1</v>
      </c>
      <c r="T733" s="167">
        <f t="shared" si="196"/>
        <v>0</v>
      </c>
      <c r="U733" s="167">
        <f t="shared" si="197"/>
        <v>0</v>
      </c>
      <c r="V733" s="167">
        <f t="shared" si="198"/>
        <v>0</v>
      </c>
    </row>
    <row r="734" spans="1:22" s="97" customFormat="1" ht="20.100000000000001" customHeight="1">
      <c r="A734" s="222"/>
      <c r="B734" s="178" t="s">
        <v>145</v>
      </c>
      <c r="C734" s="239" t="s">
        <v>363</v>
      </c>
      <c r="D734" s="239" t="s">
        <v>153</v>
      </c>
      <c r="E734" s="240">
        <f>'Вед-я стр-ра'!H645</f>
        <v>1206.7</v>
      </c>
      <c r="F734" s="240">
        <f>'Вед-я стр-ра'!I645</f>
        <v>1218.3900000000001</v>
      </c>
      <c r="G734" s="240">
        <f>'Вед-я стр-ра'!J645</f>
        <v>1230.5500000000002</v>
      </c>
      <c r="H734" s="240">
        <v>1206.7</v>
      </c>
      <c r="I734" s="240">
        <v>1218.3900000000001</v>
      </c>
      <c r="J734" s="240">
        <v>1230.5500000000002</v>
      </c>
      <c r="K734" s="178" t="s">
        <v>145</v>
      </c>
      <c r="L734" s="239" t="s">
        <v>363</v>
      </c>
      <c r="M734" s="239" t="s">
        <v>153</v>
      </c>
      <c r="N734" s="240">
        <v>1206.7</v>
      </c>
      <c r="O734" s="240">
        <v>1218.3900000000001</v>
      </c>
      <c r="P734" s="240">
        <v>1230.5500000000002</v>
      </c>
      <c r="Q734" s="101" t="b">
        <f t="shared" si="193"/>
        <v>1</v>
      </c>
      <c r="R734" s="101" t="b">
        <f t="shared" si="194"/>
        <v>1</v>
      </c>
      <c r="S734" s="101" t="b">
        <f t="shared" si="195"/>
        <v>1</v>
      </c>
      <c r="T734" s="167">
        <f t="shared" si="196"/>
        <v>0</v>
      </c>
      <c r="U734" s="167">
        <f t="shared" si="197"/>
        <v>0</v>
      </c>
      <c r="V734" s="167">
        <f t="shared" si="198"/>
        <v>0</v>
      </c>
    </row>
    <row r="735" spans="1:22" s="97" customFormat="1" ht="20.100000000000001" customHeight="1">
      <c r="A735" s="222"/>
      <c r="B735" s="180" t="s">
        <v>137</v>
      </c>
      <c r="C735" s="239" t="s">
        <v>363</v>
      </c>
      <c r="D735" s="239" t="s">
        <v>155</v>
      </c>
      <c r="E735" s="240">
        <f>'Вед-я стр-ра'!H646</f>
        <v>169.57999999999998</v>
      </c>
      <c r="F735" s="240">
        <f>'Вед-я стр-ра'!I646</f>
        <v>169.57999999999998</v>
      </c>
      <c r="G735" s="240">
        <f>'Вед-я стр-ра'!J646</f>
        <v>169.57999999999998</v>
      </c>
      <c r="H735" s="240">
        <v>169.57999999999998</v>
      </c>
      <c r="I735" s="240">
        <v>169.57999999999998</v>
      </c>
      <c r="J735" s="240">
        <v>169.57999999999998</v>
      </c>
      <c r="K735" s="180" t="s">
        <v>137</v>
      </c>
      <c r="L735" s="239" t="s">
        <v>363</v>
      </c>
      <c r="M735" s="239" t="s">
        <v>155</v>
      </c>
      <c r="N735" s="240">
        <v>169.57999999999998</v>
      </c>
      <c r="O735" s="240">
        <v>169.57999999999998</v>
      </c>
      <c r="P735" s="240">
        <v>169.57999999999998</v>
      </c>
      <c r="Q735" s="101" t="b">
        <f t="shared" si="193"/>
        <v>1</v>
      </c>
      <c r="R735" s="101" t="b">
        <f t="shared" si="194"/>
        <v>1</v>
      </c>
      <c r="S735" s="101" t="b">
        <f t="shared" si="195"/>
        <v>1</v>
      </c>
      <c r="T735" s="167">
        <f t="shared" si="196"/>
        <v>0</v>
      </c>
      <c r="U735" s="167">
        <f t="shared" si="197"/>
        <v>0</v>
      </c>
      <c r="V735" s="167">
        <f t="shared" si="198"/>
        <v>0</v>
      </c>
    </row>
    <row r="736" spans="1:22" s="97" customFormat="1" ht="20.100000000000001" customHeight="1">
      <c r="A736" s="222"/>
      <c r="B736" s="178" t="s">
        <v>161</v>
      </c>
      <c r="C736" s="239" t="s">
        <v>364</v>
      </c>
      <c r="D736" s="239" t="s">
        <v>90</v>
      </c>
      <c r="E736" s="240">
        <f>E737</f>
        <v>17896.03</v>
      </c>
      <c r="F736" s="240">
        <f>F737</f>
        <v>17896.03</v>
      </c>
      <c r="G736" s="240">
        <f>G737</f>
        <v>17896.03</v>
      </c>
      <c r="H736" s="240">
        <v>17896.03</v>
      </c>
      <c r="I736" s="240">
        <v>17896.03</v>
      </c>
      <c r="J736" s="240">
        <v>17896.03</v>
      </c>
      <c r="K736" s="178" t="s">
        <v>161</v>
      </c>
      <c r="L736" s="239" t="s">
        <v>364</v>
      </c>
      <c r="M736" s="239" t="s">
        <v>90</v>
      </c>
      <c r="N736" s="240">
        <v>17896.03</v>
      </c>
      <c r="O736" s="240">
        <v>17896.03</v>
      </c>
      <c r="P736" s="240">
        <v>17896.03</v>
      </c>
      <c r="Q736" s="101" t="b">
        <f t="shared" si="193"/>
        <v>1</v>
      </c>
      <c r="R736" s="101" t="b">
        <f t="shared" si="194"/>
        <v>1</v>
      </c>
      <c r="S736" s="101" t="b">
        <f t="shared" si="195"/>
        <v>1</v>
      </c>
      <c r="T736" s="167">
        <f t="shared" si="196"/>
        <v>0</v>
      </c>
      <c r="U736" s="167">
        <f t="shared" si="197"/>
        <v>0</v>
      </c>
      <c r="V736" s="167">
        <f t="shared" si="198"/>
        <v>0</v>
      </c>
    </row>
    <row r="737" spans="1:22" s="97" customFormat="1" ht="20.100000000000001" customHeight="1">
      <c r="A737" s="222"/>
      <c r="B737" s="180" t="s">
        <v>144</v>
      </c>
      <c r="C737" s="239" t="s">
        <v>364</v>
      </c>
      <c r="D737" s="239" t="s">
        <v>152</v>
      </c>
      <c r="E737" s="240">
        <f>'Вед-я стр-ра'!H648</f>
        <v>17896.03</v>
      </c>
      <c r="F737" s="240">
        <f>'Вед-я стр-ра'!I648</f>
        <v>17896.03</v>
      </c>
      <c r="G737" s="240">
        <f>'Вед-я стр-ра'!J648</f>
        <v>17896.03</v>
      </c>
      <c r="H737" s="240">
        <v>17896.03</v>
      </c>
      <c r="I737" s="240">
        <v>17896.03</v>
      </c>
      <c r="J737" s="240">
        <v>17896.03</v>
      </c>
      <c r="K737" s="180" t="s">
        <v>144</v>
      </c>
      <c r="L737" s="239" t="s">
        <v>364</v>
      </c>
      <c r="M737" s="239" t="s">
        <v>152</v>
      </c>
      <c r="N737" s="240">
        <v>17896.03</v>
      </c>
      <c r="O737" s="240">
        <v>17896.03</v>
      </c>
      <c r="P737" s="240">
        <v>17896.03</v>
      </c>
      <c r="Q737" s="101" t="b">
        <f t="shared" si="193"/>
        <v>1</v>
      </c>
      <c r="R737" s="101" t="b">
        <f t="shared" si="194"/>
        <v>1</v>
      </c>
      <c r="S737" s="101" t="b">
        <f t="shared" si="195"/>
        <v>1</v>
      </c>
      <c r="T737" s="167">
        <f t="shared" si="196"/>
        <v>0</v>
      </c>
      <c r="U737" s="167">
        <f t="shared" si="197"/>
        <v>0</v>
      </c>
      <c r="V737" s="167">
        <f t="shared" si="198"/>
        <v>0</v>
      </c>
    </row>
    <row r="738" spans="1:22" s="97" customFormat="1" ht="20.100000000000001" customHeight="1">
      <c r="A738" s="222"/>
      <c r="B738" s="241" t="s">
        <v>200</v>
      </c>
      <c r="C738" s="236" t="s">
        <v>346</v>
      </c>
      <c r="D738" s="236" t="s">
        <v>90</v>
      </c>
      <c r="E738" s="237">
        <f t="shared" ref="E738:G739" si="202">E739</f>
        <v>704.37</v>
      </c>
      <c r="F738" s="237">
        <f t="shared" si="202"/>
        <v>704.37</v>
      </c>
      <c r="G738" s="237">
        <f t="shared" si="202"/>
        <v>704.37</v>
      </c>
      <c r="H738" s="237">
        <v>704.37</v>
      </c>
      <c r="I738" s="237">
        <v>704.37</v>
      </c>
      <c r="J738" s="237">
        <v>704.37</v>
      </c>
      <c r="K738" s="241" t="s">
        <v>200</v>
      </c>
      <c r="L738" s="236" t="s">
        <v>346</v>
      </c>
      <c r="M738" s="236" t="s">
        <v>90</v>
      </c>
      <c r="N738" s="237">
        <v>704.37</v>
      </c>
      <c r="O738" s="237">
        <v>704.37</v>
      </c>
      <c r="P738" s="237">
        <v>704.37</v>
      </c>
      <c r="Q738" s="101" t="b">
        <f t="shared" si="193"/>
        <v>1</v>
      </c>
      <c r="R738" s="101" t="b">
        <f t="shared" si="194"/>
        <v>1</v>
      </c>
      <c r="S738" s="101" t="b">
        <f t="shared" si="195"/>
        <v>1</v>
      </c>
      <c r="T738" s="167">
        <f t="shared" si="196"/>
        <v>0</v>
      </c>
      <c r="U738" s="167">
        <f t="shared" si="197"/>
        <v>0</v>
      </c>
      <c r="V738" s="167">
        <f t="shared" si="198"/>
        <v>0</v>
      </c>
    </row>
    <row r="739" spans="1:22" s="97" customFormat="1" ht="20.100000000000001" customHeight="1">
      <c r="A739" s="222"/>
      <c r="B739" s="178" t="s">
        <v>614</v>
      </c>
      <c r="C739" s="239" t="s">
        <v>610</v>
      </c>
      <c r="D739" s="239" t="s">
        <v>90</v>
      </c>
      <c r="E739" s="240">
        <f t="shared" si="202"/>
        <v>704.37</v>
      </c>
      <c r="F739" s="240">
        <f t="shared" si="202"/>
        <v>704.37</v>
      </c>
      <c r="G739" s="240">
        <f t="shared" si="202"/>
        <v>704.37</v>
      </c>
      <c r="H739" s="240">
        <v>704.37</v>
      </c>
      <c r="I739" s="240">
        <v>704.37</v>
      </c>
      <c r="J739" s="240">
        <v>704.37</v>
      </c>
      <c r="K739" s="178" t="s">
        <v>614</v>
      </c>
      <c r="L739" s="239" t="s">
        <v>610</v>
      </c>
      <c r="M739" s="239" t="s">
        <v>90</v>
      </c>
      <c r="N739" s="240">
        <v>704.37</v>
      </c>
      <c r="O739" s="240">
        <v>704.37</v>
      </c>
      <c r="P739" s="240">
        <v>704.37</v>
      </c>
      <c r="Q739" s="101" t="b">
        <f t="shared" si="193"/>
        <v>1</v>
      </c>
      <c r="R739" s="101" t="b">
        <f t="shared" si="194"/>
        <v>1</v>
      </c>
      <c r="S739" s="101" t="b">
        <f t="shared" si="195"/>
        <v>1</v>
      </c>
      <c r="T739" s="167">
        <f t="shared" si="196"/>
        <v>0</v>
      </c>
      <c r="U739" s="167">
        <f t="shared" si="197"/>
        <v>0</v>
      </c>
      <c r="V739" s="167">
        <f t="shared" si="198"/>
        <v>0</v>
      </c>
    </row>
    <row r="740" spans="1:22" s="97" customFormat="1" ht="20.100000000000001" customHeight="1">
      <c r="A740" s="222"/>
      <c r="B740" s="178" t="s">
        <v>145</v>
      </c>
      <c r="C740" s="239" t="s">
        <v>610</v>
      </c>
      <c r="D740" s="239" t="s">
        <v>153</v>
      </c>
      <c r="E740" s="240">
        <f>'Вед-я стр-ра'!H651</f>
        <v>704.37</v>
      </c>
      <c r="F740" s="240">
        <f>'Вед-я стр-ра'!I651</f>
        <v>704.37</v>
      </c>
      <c r="G740" s="240">
        <f>'Вед-я стр-ра'!J651</f>
        <v>704.37</v>
      </c>
      <c r="H740" s="240">
        <v>704.37</v>
      </c>
      <c r="I740" s="240">
        <v>704.37</v>
      </c>
      <c r="J740" s="240">
        <v>704.37</v>
      </c>
      <c r="K740" s="178" t="s">
        <v>145</v>
      </c>
      <c r="L740" s="239" t="s">
        <v>610</v>
      </c>
      <c r="M740" s="239" t="s">
        <v>153</v>
      </c>
      <c r="N740" s="240">
        <v>704.37</v>
      </c>
      <c r="O740" s="240">
        <v>704.37</v>
      </c>
      <c r="P740" s="240">
        <v>704.37</v>
      </c>
      <c r="Q740" s="101" t="b">
        <f t="shared" si="193"/>
        <v>1</v>
      </c>
      <c r="R740" s="101" t="b">
        <f t="shared" si="194"/>
        <v>1</v>
      </c>
      <c r="S740" s="101" t="b">
        <f t="shared" si="195"/>
        <v>1</v>
      </c>
      <c r="T740" s="167">
        <f t="shared" si="196"/>
        <v>0</v>
      </c>
      <c r="U740" s="167">
        <f t="shared" si="197"/>
        <v>0</v>
      </c>
      <c r="V740" s="167">
        <f t="shared" si="198"/>
        <v>0</v>
      </c>
    </row>
    <row r="741" spans="1:22" s="97" customFormat="1" ht="20.100000000000001" customHeight="1">
      <c r="A741" s="222"/>
      <c r="B741" s="178"/>
      <c r="C741" s="239"/>
      <c r="D741" s="239"/>
      <c r="E741" s="240"/>
      <c r="F741" s="240"/>
      <c r="G741" s="240"/>
      <c r="H741" s="240"/>
      <c r="I741" s="240"/>
      <c r="J741" s="240"/>
      <c r="K741" s="178"/>
      <c r="L741" s="239"/>
      <c r="M741" s="239"/>
      <c r="N741" s="240"/>
      <c r="O741" s="240"/>
      <c r="P741" s="240"/>
      <c r="Q741" s="101" t="b">
        <f t="shared" si="193"/>
        <v>1</v>
      </c>
      <c r="R741" s="101" t="b">
        <f t="shared" si="194"/>
        <v>1</v>
      </c>
      <c r="S741" s="101" t="b">
        <f t="shared" si="195"/>
        <v>1</v>
      </c>
      <c r="T741" s="167">
        <f t="shared" si="196"/>
        <v>0</v>
      </c>
      <c r="U741" s="167">
        <f t="shared" si="197"/>
        <v>0</v>
      </c>
      <c r="V741" s="167">
        <f t="shared" si="198"/>
        <v>0</v>
      </c>
    </row>
    <row r="742" spans="1:22" s="101" customFormat="1" ht="20.100000000000001" customHeight="1">
      <c r="A742" s="345"/>
      <c r="B742" s="232" t="s">
        <v>212</v>
      </c>
      <c r="C742" s="233" t="s">
        <v>500</v>
      </c>
      <c r="D742" s="233" t="s">
        <v>90</v>
      </c>
      <c r="E742" s="234">
        <f>E743</f>
        <v>97461.79</v>
      </c>
      <c r="F742" s="234">
        <f>F743</f>
        <v>93256.56</v>
      </c>
      <c r="G742" s="234">
        <f>G743</f>
        <v>93273.06</v>
      </c>
      <c r="H742" s="234">
        <v>97461.79</v>
      </c>
      <c r="I742" s="234">
        <v>93256.56</v>
      </c>
      <c r="J742" s="234">
        <v>93273.06</v>
      </c>
      <c r="K742" s="232" t="s">
        <v>212</v>
      </c>
      <c r="L742" s="233" t="s">
        <v>500</v>
      </c>
      <c r="M742" s="233" t="s">
        <v>90</v>
      </c>
      <c r="N742" s="234">
        <v>97461.79</v>
      </c>
      <c r="O742" s="234">
        <v>93256.56</v>
      </c>
      <c r="P742" s="234">
        <v>93273.06</v>
      </c>
      <c r="Q742" s="101" t="b">
        <f t="shared" si="193"/>
        <v>1</v>
      </c>
      <c r="R742" s="101" t="b">
        <f t="shared" si="194"/>
        <v>1</v>
      </c>
      <c r="S742" s="101" t="b">
        <f t="shared" si="195"/>
        <v>1</v>
      </c>
      <c r="T742" s="167">
        <f t="shared" si="196"/>
        <v>0</v>
      </c>
      <c r="U742" s="167">
        <f t="shared" si="197"/>
        <v>0</v>
      </c>
      <c r="V742" s="167">
        <f t="shared" si="198"/>
        <v>0</v>
      </c>
    </row>
    <row r="743" spans="1:22" s="102" customFormat="1" ht="20.100000000000001" customHeight="1">
      <c r="A743" s="346"/>
      <c r="B743" s="241" t="s">
        <v>214</v>
      </c>
      <c r="C743" s="236" t="s">
        <v>395</v>
      </c>
      <c r="D743" s="236" t="s">
        <v>90</v>
      </c>
      <c r="E743" s="237">
        <f>E753+E750+E744+E748</f>
        <v>97461.79</v>
      </c>
      <c r="F743" s="237">
        <f>F753+F750+F744+F748</f>
        <v>93256.56</v>
      </c>
      <c r="G743" s="237">
        <f>G753+G750+G744+G748</f>
        <v>93273.06</v>
      </c>
      <c r="H743" s="237">
        <v>97461.79</v>
      </c>
      <c r="I743" s="237">
        <v>93256.56</v>
      </c>
      <c r="J743" s="237">
        <v>93273.06</v>
      </c>
      <c r="K743" s="241" t="s">
        <v>214</v>
      </c>
      <c r="L743" s="236" t="s">
        <v>395</v>
      </c>
      <c r="M743" s="236" t="s">
        <v>90</v>
      </c>
      <c r="N743" s="237">
        <v>97461.79</v>
      </c>
      <c r="O743" s="237">
        <v>93256.56</v>
      </c>
      <c r="P743" s="237">
        <v>93273.06</v>
      </c>
      <c r="Q743" s="101" t="b">
        <f t="shared" si="193"/>
        <v>1</v>
      </c>
      <c r="R743" s="101" t="b">
        <f t="shared" si="194"/>
        <v>1</v>
      </c>
      <c r="S743" s="101" t="b">
        <f t="shared" si="195"/>
        <v>1</v>
      </c>
      <c r="T743" s="167">
        <f t="shared" si="196"/>
        <v>0</v>
      </c>
      <c r="U743" s="167">
        <f t="shared" si="197"/>
        <v>0</v>
      </c>
      <c r="V743" s="167">
        <f t="shared" si="198"/>
        <v>0</v>
      </c>
    </row>
    <row r="744" spans="1:22" s="102" customFormat="1" ht="20.100000000000001" customHeight="1">
      <c r="A744" s="346"/>
      <c r="B744" s="255" t="s">
        <v>151</v>
      </c>
      <c r="C744" s="239" t="s">
        <v>396</v>
      </c>
      <c r="D744" s="239" t="s">
        <v>90</v>
      </c>
      <c r="E744" s="240">
        <f>SUM(E745:E747)</f>
        <v>5398.2199999999993</v>
      </c>
      <c r="F744" s="240">
        <f>SUM(F745:F747)</f>
        <v>1193.3900000000001</v>
      </c>
      <c r="G744" s="240">
        <f>SUM(G745:G747)</f>
        <v>1209.77</v>
      </c>
      <c r="H744" s="240">
        <v>5398.2199999999993</v>
      </c>
      <c r="I744" s="240">
        <v>1193.3900000000001</v>
      </c>
      <c r="J744" s="240">
        <v>1209.77</v>
      </c>
      <c r="K744" s="255" t="s">
        <v>151</v>
      </c>
      <c r="L744" s="239" t="s">
        <v>396</v>
      </c>
      <c r="M744" s="239" t="s">
        <v>90</v>
      </c>
      <c r="N744" s="240">
        <v>5398.2199999999993</v>
      </c>
      <c r="O744" s="240">
        <v>1193.3900000000001</v>
      </c>
      <c r="P744" s="240">
        <v>1209.77</v>
      </c>
      <c r="Q744" s="101" t="b">
        <f t="shared" si="193"/>
        <v>1</v>
      </c>
      <c r="R744" s="101" t="b">
        <f t="shared" si="194"/>
        <v>1</v>
      </c>
      <c r="S744" s="101" t="b">
        <f t="shared" si="195"/>
        <v>1</v>
      </c>
      <c r="T744" s="167">
        <f t="shared" si="196"/>
        <v>0</v>
      </c>
      <c r="U744" s="167">
        <f t="shared" si="197"/>
        <v>0</v>
      </c>
      <c r="V744" s="167">
        <f t="shared" si="198"/>
        <v>0</v>
      </c>
    </row>
    <row r="745" spans="1:22" s="102" customFormat="1" ht="20.100000000000001" customHeight="1">
      <c r="A745" s="346"/>
      <c r="B745" s="180" t="s">
        <v>144</v>
      </c>
      <c r="C745" s="239" t="s">
        <v>396</v>
      </c>
      <c r="D745" s="239" t="s">
        <v>152</v>
      </c>
      <c r="E745" s="240">
        <f>'Вед-я стр-ра'!H805</f>
        <v>144.04</v>
      </c>
      <c r="F745" s="240">
        <f>'Вед-я стр-ра'!I805</f>
        <v>144.04</v>
      </c>
      <c r="G745" s="240">
        <f>'Вед-я стр-ра'!J805</f>
        <v>144.04</v>
      </c>
      <c r="H745" s="240">
        <v>144.04</v>
      </c>
      <c r="I745" s="240">
        <v>144.04</v>
      </c>
      <c r="J745" s="240">
        <v>144.04</v>
      </c>
      <c r="K745" s="180" t="s">
        <v>144</v>
      </c>
      <c r="L745" s="239" t="s">
        <v>396</v>
      </c>
      <c r="M745" s="239" t="s">
        <v>152</v>
      </c>
      <c r="N745" s="240">
        <v>144.04</v>
      </c>
      <c r="O745" s="240">
        <v>144.04</v>
      </c>
      <c r="P745" s="240">
        <v>144.04</v>
      </c>
      <c r="Q745" s="101" t="b">
        <f t="shared" si="193"/>
        <v>1</v>
      </c>
      <c r="R745" s="101" t="b">
        <f t="shared" si="194"/>
        <v>1</v>
      </c>
      <c r="S745" s="101" t="b">
        <f t="shared" si="195"/>
        <v>1</v>
      </c>
      <c r="T745" s="167">
        <f t="shared" si="196"/>
        <v>0</v>
      </c>
      <c r="U745" s="167">
        <f t="shared" si="197"/>
        <v>0</v>
      </c>
      <c r="V745" s="167">
        <f t="shared" si="198"/>
        <v>0</v>
      </c>
    </row>
    <row r="746" spans="1:22" s="102" customFormat="1" ht="20.100000000000001" customHeight="1">
      <c r="A746" s="346"/>
      <c r="B746" s="255" t="s">
        <v>145</v>
      </c>
      <c r="C746" s="239" t="s">
        <v>396</v>
      </c>
      <c r="D746" s="239" t="s">
        <v>153</v>
      </c>
      <c r="E746" s="240">
        <f>'Вед-я стр-ра'!H806</f>
        <v>5252.24</v>
      </c>
      <c r="F746" s="240">
        <f>'Вед-я стр-ра'!I806</f>
        <v>1047.4100000000001</v>
      </c>
      <c r="G746" s="240">
        <f>'Вед-я стр-ра'!J806</f>
        <v>1063.79</v>
      </c>
      <c r="H746" s="240">
        <v>5252.24</v>
      </c>
      <c r="I746" s="240">
        <v>1047.4100000000001</v>
      </c>
      <c r="J746" s="240">
        <v>1063.79</v>
      </c>
      <c r="K746" s="255" t="s">
        <v>145</v>
      </c>
      <c r="L746" s="239" t="s">
        <v>396</v>
      </c>
      <c r="M746" s="239" t="s">
        <v>153</v>
      </c>
      <c r="N746" s="240">
        <v>5252.24</v>
      </c>
      <c r="O746" s="240">
        <v>1047.4100000000001</v>
      </c>
      <c r="P746" s="240">
        <v>1063.79</v>
      </c>
      <c r="Q746" s="101" t="b">
        <f t="shared" si="193"/>
        <v>1</v>
      </c>
      <c r="R746" s="101" t="b">
        <f t="shared" si="194"/>
        <v>1</v>
      </c>
      <c r="S746" s="101" t="b">
        <f t="shared" si="195"/>
        <v>1</v>
      </c>
      <c r="T746" s="167">
        <f t="shared" si="196"/>
        <v>0</v>
      </c>
      <c r="U746" s="167">
        <f t="shared" si="197"/>
        <v>0</v>
      </c>
      <c r="V746" s="167">
        <f t="shared" si="198"/>
        <v>0</v>
      </c>
    </row>
    <row r="747" spans="1:22" s="102" customFormat="1" ht="20.100000000000001" customHeight="1">
      <c r="A747" s="346"/>
      <c r="B747" s="255" t="s">
        <v>137</v>
      </c>
      <c r="C747" s="239" t="s">
        <v>396</v>
      </c>
      <c r="D747" s="239" t="s">
        <v>155</v>
      </c>
      <c r="E747" s="240">
        <f>'Вед-я стр-ра'!H807</f>
        <v>1.94</v>
      </c>
      <c r="F747" s="240">
        <f>'Вед-я стр-ра'!I807</f>
        <v>1.94</v>
      </c>
      <c r="G747" s="240">
        <f>'Вед-я стр-ра'!J807</f>
        <v>1.94</v>
      </c>
      <c r="H747" s="240">
        <v>1.94</v>
      </c>
      <c r="I747" s="240">
        <v>1.94</v>
      </c>
      <c r="J747" s="240">
        <v>1.94</v>
      </c>
      <c r="K747" s="255" t="s">
        <v>137</v>
      </c>
      <c r="L747" s="239" t="s">
        <v>396</v>
      </c>
      <c r="M747" s="239" t="s">
        <v>155</v>
      </c>
      <c r="N747" s="240">
        <v>1.94</v>
      </c>
      <c r="O747" s="240">
        <v>1.94</v>
      </c>
      <c r="P747" s="240">
        <v>1.94</v>
      </c>
      <c r="Q747" s="101" t="b">
        <f t="shared" si="193"/>
        <v>1</v>
      </c>
      <c r="R747" s="101" t="b">
        <f t="shared" si="194"/>
        <v>1</v>
      </c>
      <c r="S747" s="101" t="b">
        <f t="shared" si="195"/>
        <v>1</v>
      </c>
      <c r="T747" s="167">
        <f t="shared" si="196"/>
        <v>0</v>
      </c>
      <c r="U747" s="167">
        <f t="shared" si="197"/>
        <v>0</v>
      </c>
      <c r="V747" s="167">
        <f t="shared" si="198"/>
        <v>0</v>
      </c>
    </row>
    <row r="748" spans="1:22" s="102" customFormat="1" ht="20.100000000000001" customHeight="1">
      <c r="A748" s="346"/>
      <c r="B748" s="255" t="s">
        <v>161</v>
      </c>
      <c r="C748" s="239" t="s">
        <v>397</v>
      </c>
      <c r="D748" s="239" t="s">
        <v>90</v>
      </c>
      <c r="E748" s="240">
        <f>SUM(E749:E749)</f>
        <v>8736.56</v>
      </c>
      <c r="F748" s="240">
        <f>SUM(F749:F749)</f>
        <v>8736.56</v>
      </c>
      <c r="G748" s="240">
        <f>SUM(G749:G749)</f>
        <v>8736.56</v>
      </c>
      <c r="H748" s="240">
        <v>8736.56</v>
      </c>
      <c r="I748" s="240">
        <v>8736.56</v>
      </c>
      <c r="J748" s="240">
        <v>8736.56</v>
      </c>
      <c r="K748" s="255" t="s">
        <v>161</v>
      </c>
      <c r="L748" s="239" t="s">
        <v>397</v>
      </c>
      <c r="M748" s="239" t="s">
        <v>90</v>
      </c>
      <c r="N748" s="240">
        <v>8736.56</v>
      </c>
      <c r="O748" s="240">
        <v>8736.56</v>
      </c>
      <c r="P748" s="240">
        <v>8736.56</v>
      </c>
      <c r="Q748" s="101" t="b">
        <f t="shared" si="193"/>
        <v>1</v>
      </c>
      <c r="R748" s="101" t="b">
        <f t="shared" si="194"/>
        <v>1</v>
      </c>
      <c r="S748" s="101" t="b">
        <f t="shared" si="195"/>
        <v>1</v>
      </c>
      <c r="T748" s="167">
        <f t="shared" si="196"/>
        <v>0</v>
      </c>
      <c r="U748" s="167">
        <f t="shared" si="197"/>
        <v>0</v>
      </c>
      <c r="V748" s="167">
        <f t="shared" si="198"/>
        <v>0</v>
      </c>
    </row>
    <row r="749" spans="1:22" s="102" customFormat="1" ht="20.100000000000001" customHeight="1">
      <c r="A749" s="346"/>
      <c r="B749" s="180" t="s">
        <v>144</v>
      </c>
      <c r="C749" s="239" t="s">
        <v>397</v>
      </c>
      <c r="D749" s="239" t="s">
        <v>152</v>
      </c>
      <c r="E749" s="240">
        <f>'Вед-я стр-ра'!H809</f>
        <v>8736.56</v>
      </c>
      <c r="F749" s="240">
        <f>'Вед-я стр-ра'!I809</f>
        <v>8736.56</v>
      </c>
      <c r="G749" s="240">
        <f>'Вед-я стр-ра'!J809</f>
        <v>8736.56</v>
      </c>
      <c r="H749" s="240">
        <v>8736.56</v>
      </c>
      <c r="I749" s="240">
        <v>8736.56</v>
      </c>
      <c r="J749" s="240">
        <v>8736.56</v>
      </c>
      <c r="K749" s="180" t="s">
        <v>144</v>
      </c>
      <c r="L749" s="239" t="s">
        <v>397</v>
      </c>
      <c r="M749" s="239" t="s">
        <v>152</v>
      </c>
      <c r="N749" s="240">
        <v>8736.56</v>
      </c>
      <c r="O749" s="240">
        <v>8736.56</v>
      </c>
      <c r="P749" s="240">
        <v>8736.56</v>
      </c>
      <c r="Q749" s="101" t="b">
        <f t="shared" si="193"/>
        <v>1</v>
      </c>
      <c r="R749" s="101" t="b">
        <f t="shared" si="194"/>
        <v>1</v>
      </c>
      <c r="S749" s="101" t="b">
        <f t="shared" si="195"/>
        <v>1</v>
      </c>
      <c r="T749" s="167">
        <f t="shared" si="196"/>
        <v>0</v>
      </c>
      <c r="U749" s="167">
        <f t="shared" si="197"/>
        <v>0</v>
      </c>
      <c r="V749" s="167">
        <f t="shared" si="198"/>
        <v>0</v>
      </c>
    </row>
    <row r="750" spans="1:22" s="102" customFormat="1" ht="20.100000000000001" customHeight="1">
      <c r="A750" s="222" t="s">
        <v>799</v>
      </c>
      <c r="B750" s="52" t="s">
        <v>856</v>
      </c>
      <c r="C750" s="239" t="s">
        <v>398</v>
      </c>
      <c r="D750" s="239" t="s">
        <v>90</v>
      </c>
      <c r="E750" s="240">
        <f>E751+E752</f>
        <v>2015.06</v>
      </c>
      <c r="F750" s="240">
        <f>F751+F752</f>
        <v>2015.06</v>
      </c>
      <c r="G750" s="240">
        <f>G751+G752</f>
        <v>2015.06</v>
      </c>
      <c r="H750" s="240">
        <v>2015.06</v>
      </c>
      <c r="I750" s="240">
        <v>2015.06</v>
      </c>
      <c r="J750" s="240">
        <v>2015.06</v>
      </c>
      <c r="K750" s="52" t="s">
        <v>856</v>
      </c>
      <c r="L750" s="239" t="s">
        <v>398</v>
      </c>
      <c r="M750" s="239" t="s">
        <v>90</v>
      </c>
      <c r="N750" s="240">
        <v>2015.06</v>
      </c>
      <c r="O750" s="240">
        <v>2015.06</v>
      </c>
      <c r="P750" s="240">
        <v>2015.06</v>
      </c>
      <c r="Q750" s="101" t="b">
        <f t="shared" si="193"/>
        <v>1</v>
      </c>
      <c r="R750" s="101" t="b">
        <f t="shared" si="194"/>
        <v>1</v>
      </c>
      <c r="S750" s="101" t="b">
        <f t="shared" si="195"/>
        <v>1</v>
      </c>
      <c r="T750" s="167">
        <f t="shared" si="196"/>
        <v>0</v>
      </c>
      <c r="U750" s="167">
        <f t="shared" si="197"/>
        <v>0</v>
      </c>
      <c r="V750" s="167">
        <f t="shared" si="198"/>
        <v>0</v>
      </c>
    </row>
    <row r="751" spans="1:22" s="102" customFormat="1" ht="20.100000000000001" customHeight="1">
      <c r="A751" s="346"/>
      <c r="B751" s="180" t="s">
        <v>144</v>
      </c>
      <c r="C751" s="239" t="s">
        <v>398</v>
      </c>
      <c r="D751" s="239" t="s">
        <v>152</v>
      </c>
      <c r="E751" s="240">
        <f>'Вед-я стр-ра'!H811</f>
        <v>1722.28</v>
      </c>
      <c r="F751" s="240">
        <f>'Вед-я стр-ра'!I811</f>
        <v>1722.28</v>
      </c>
      <c r="G751" s="240">
        <f>'Вед-я стр-ра'!J811</f>
        <v>1722.28</v>
      </c>
      <c r="H751" s="240">
        <v>1722.28</v>
      </c>
      <c r="I751" s="240">
        <v>1722.28</v>
      </c>
      <c r="J751" s="240">
        <v>1722.28</v>
      </c>
      <c r="K751" s="180" t="s">
        <v>144</v>
      </c>
      <c r="L751" s="239" t="s">
        <v>398</v>
      </c>
      <c r="M751" s="239" t="s">
        <v>152</v>
      </c>
      <c r="N751" s="240">
        <v>1722.28</v>
      </c>
      <c r="O751" s="240">
        <v>1722.28</v>
      </c>
      <c r="P751" s="240">
        <v>1722.28</v>
      </c>
      <c r="Q751" s="101" t="b">
        <f t="shared" si="193"/>
        <v>1</v>
      </c>
      <c r="R751" s="101" t="b">
        <f t="shared" si="194"/>
        <v>1</v>
      </c>
      <c r="S751" s="101" t="b">
        <f t="shared" si="195"/>
        <v>1</v>
      </c>
      <c r="T751" s="167">
        <f t="shared" si="196"/>
        <v>0</v>
      </c>
      <c r="U751" s="167">
        <f t="shared" si="197"/>
        <v>0</v>
      </c>
      <c r="V751" s="167">
        <f t="shared" si="198"/>
        <v>0</v>
      </c>
    </row>
    <row r="752" spans="1:22" s="102" customFormat="1" ht="20.100000000000001" customHeight="1">
      <c r="A752" s="346"/>
      <c r="B752" s="182" t="s">
        <v>145</v>
      </c>
      <c r="C752" s="53" t="s">
        <v>398</v>
      </c>
      <c r="D752" s="37" t="s">
        <v>153</v>
      </c>
      <c r="E752" s="240">
        <f>'Вед-я стр-ра'!H812</f>
        <v>292.77999999999997</v>
      </c>
      <c r="F752" s="240">
        <f>'Вед-я стр-ра'!I812</f>
        <v>292.77999999999997</v>
      </c>
      <c r="G752" s="240">
        <f>'Вед-я стр-ра'!J812</f>
        <v>292.77999999999997</v>
      </c>
      <c r="H752" s="240">
        <v>292.77999999999997</v>
      </c>
      <c r="I752" s="240">
        <v>292.77999999999997</v>
      </c>
      <c r="J752" s="240">
        <v>292.77999999999997</v>
      </c>
      <c r="K752" s="182" t="s">
        <v>145</v>
      </c>
      <c r="L752" s="53" t="s">
        <v>398</v>
      </c>
      <c r="M752" s="37" t="s">
        <v>153</v>
      </c>
      <c r="N752" s="240">
        <v>292.77999999999997</v>
      </c>
      <c r="O752" s="240">
        <v>292.77999999999997</v>
      </c>
      <c r="P752" s="240">
        <v>292.77999999999997</v>
      </c>
      <c r="Q752" s="101" t="b">
        <f t="shared" si="193"/>
        <v>1</v>
      </c>
      <c r="R752" s="101" t="b">
        <f t="shared" si="194"/>
        <v>1</v>
      </c>
      <c r="S752" s="101" t="b">
        <f t="shared" si="195"/>
        <v>1</v>
      </c>
      <c r="T752" s="167">
        <f t="shared" si="196"/>
        <v>0</v>
      </c>
      <c r="U752" s="167">
        <f t="shared" si="197"/>
        <v>0</v>
      </c>
      <c r="V752" s="167">
        <f t="shared" si="198"/>
        <v>0</v>
      </c>
    </row>
    <row r="753" spans="1:22" s="102" customFormat="1" ht="20.100000000000001" customHeight="1">
      <c r="A753" s="222" t="s">
        <v>799</v>
      </c>
      <c r="B753" s="22" t="s">
        <v>857</v>
      </c>
      <c r="C753" s="239" t="s">
        <v>399</v>
      </c>
      <c r="D753" s="239" t="s">
        <v>90</v>
      </c>
      <c r="E753" s="240">
        <f>E754+E755+E756</f>
        <v>81311.95</v>
      </c>
      <c r="F753" s="240">
        <f>F754+F755+F756</f>
        <v>81311.55</v>
      </c>
      <c r="G753" s="240">
        <f>G754+G755+G756</f>
        <v>81311.67</v>
      </c>
      <c r="H753" s="240">
        <v>81311.95</v>
      </c>
      <c r="I753" s="240">
        <v>81311.55</v>
      </c>
      <c r="J753" s="240">
        <v>81311.67</v>
      </c>
      <c r="K753" s="22" t="s">
        <v>857</v>
      </c>
      <c r="L753" s="239" t="s">
        <v>399</v>
      </c>
      <c r="M753" s="239" t="s">
        <v>90</v>
      </c>
      <c r="N753" s="240">
        <v>81311.95</v>
      </c>
      <c r="O753" s="240">
        <v>81311.55</v>
      </c>
      <c r="P753" s="240">
        <v>81311.67</v>
      </c>
      <c r="Q753" s="101" t="b">
        <f t="shared" si="193"/>
        <v>1</v>
      </c>
      <c r="R753" s="101" t="b">
        <f t="shared" si="194"/>
        <v>1</v>
      </c>
      <c r="S753" s="101" t="b">
        <f t="shared" si="195"/>
        <v>1</v>
      </c>
      <c r="T753" s="167">
        <f t="shared" si="196"/>
        <v>0</v>
      </c>
      <c r="U753" s="167">
        <f t="shared" si="197"/>
        <v>0</v>
      </c>
      <c r="V753" s="167">
        <f t="shared" si="198"/>
        <v>0</v>
      </c>
    </row>
    <row r="754" spans="1:22" s="102" customFormat="1" ht="20.100000000000001" customHeight="1">
      <c r="A754" s="346"/>
      <c r="B754" s="180" t="s">
        <v>144</v>
      </c>
      <c r="C754" s="239" t="s">
        <v>399</v>
      </c>
      <c r="D754" s="239" t="s">
        <v>152</v>
      </c>
      <c r="E754" s="240">
        <f>'Вед-я стр-ра'!H814</f>
        <v>78233.740000000005</v>
      </c>
      <c r="F754" s="240">
        <f>'Вед-я стр-ра'!I814</f>
        <v>78233.740000000005</v>
      </c>
      <c r="G754" s="240">
        <f>'Вед-я стр-ра'!J814</f>
        <v>78233.740000000005</v>
      </c>
      <c r="H754" s="240">
        <v>78233.740000000005</v>
      </c>
      <c r="I754" s="240">
        <v>78233.740000000005</v>
      </c>
      <c r="J754" s="240">
        <v>78233.740000000005</v>
      </c>
      <c r="K754" s="180" t="s">
        <v>144</v>
      </c>
      <c r="L754" s="239" t="s">
        <v>399</v>
      </c>
      <c r="M754" s="239" t="s">
        <v>152</v>
      </c>
      <c r="N754" s="240">
        <v>78233.740000000005</v>
      </c>
      <c r="O754" s="240">
        <v>78233.740000000005</v>
      </c>
      <c r="P754" s="240">
        <v>78233.740000000005</v>
      </c>
      <c r="Q754" s="101" t="b">
        <f t="shared" si="193"/>
        <v>1</v>
      </c>
      <c r="R754" s="101" t="b">
        <f t="shared" si="194"/>
        <v>1</v>
      </c>
      <c r="S754" s="101" t="b">
        <f t="shared" si="195"/>
        <v>1</v>
      </c>
      <c r="T754" s="167">
        <f t="shared" si="196"/>
        <v>0</v>
      </c>
      <c r="U754" s="167">
        <f t="shared" si="197"/>
        <v>0</v>
      </c>
      <c r="V754" s="167">
        <f t="shared" si="198"/>
        <v>0</v>
      </c>
    </row>
    <row r="755" spans="1:22" s="102" customFormat="1" ht="20.100000000000001" customHeight="1">
      <c r="A755" s="346"/>
      <c r="B755" s="178" t="s">
        <v>145</v>
      </c>
      <c r="C755" s="239" t="s">
        <v>399</v>
      </c>
      <c r="D755" s="239" t="s">
        <v>153</v>
      </c>
      <c r="E755" s="240">
        <f>'Вед-я стр-ра'!H815</f>
        <v>2978.29</v>
      </c>
      <c r="F755" s="240">
        <f>'Вед-я стр-ра'!I815</f>
        <v>2977.89</v>
      </c>
      <c r="G755" s="240">
        <f>'Вед-я стр-ра'!J815</f>
        <v>2978.01</v>
      </c>
      <c r="H755" s="240">
        <v>2978.29</v>
      </c>
      <c r="I755" s="240">
        <v>2977.89</v>
      </c>
      <c r="J755" s="240">
        <v>2978.01</v>
      </c>
      <c r="K755" s="178" t="s">
        <v>145</v>
      </c>
      <c r="L755" s="239" t="s">
        <v>399</v>
      </c>
      <c r="M755" s="239" t="s">
        <v>153</v>
      </c>
      <c r="N755" s="240">
        <v>2978.29</v>
      </c>
      <c r="O755" s="240">
        <v>2977.89</v>
      </c>
      <c r="P755" s="240">
        <v>2978.01</v>
      </c>
      <c r="Q755" s="101" t="b">
        <f t="shared" si="193"/>
        <v>1</v>
      </c>
      <c r="R755" s="101" t="b">
        <f t="shared" si="194"/>
        <v>1</v>
      </c>
      <c r="S755" s="101" t="b">
        <f t="shared" si="195"/>
        <v>1</v>
      </c>
      <c r="T755" s="167">
        <f t="shared" si="196"/>
        <v>0</v>
      </c>
      <c r="U755" s="167">
        <f t="shared" si="197"/>
        <v>0</v>
      </c>
      <c r="V755" s="167">
        <f t="shared" si="198"/>
        <v>0</v>
      </c>
    </row>
    <row r="756" spans="1:22" s="102" customFormat="1" ht="20.100000000000001" customHeight="1">
      <c r="A756" s="346"/>
      <c r="B756" s="178" t="s">
        <v>137</v>
      </c>
      <c r="C756" s="239" t="s">
        <v>399</v>
      </c>
      <c r="D756" s="239" t="s">
        <v>155</v>
      </c>
      <c r="E756" s="240">
        <f>'Вед-я стр-ра'!H816</f>
        <v>99.92</v>
      </c>
      <c r="F756" s="240">
        <f>'Вед-я стр-ра'!I816</f>
        <v>99.92</v>
      </c>
      <c r="G756" s="240">
        <f>'Вед-я стр-ра'!J816</f>
        <v>99.92</v>
      </c>
      <c r="H756" s="240">
        <v>99.92</v>
      </c>
      <c r="I756" s="240">
        <v>99.92</v>
      </c>
      <c r="J756" s="240">
        <v>99.92</v>
      </c>
      <c r="K756" s="178" t="s">
        <v>137</v>
      </c>
      <c r="L756" s="239" t="s">
        <v>399</v>
      </c>
      <c r="M756" s="239" t="s">
        <v>155</v>
      </c>
      <c r="N756" s="240">
        <v>99.92</v>
      </c>
      <c r="O756" s="240">
        <v>99.92</v>
      </c>
      <c r="P756" s="240">
        <v>99.92</v>
      </c>
      <c r="Q756" s="101" t="b">
        <f t="shared" si="193"/>
        <v>1</v>
      </c>
      <c r="R756" s="101" t="b">
        <f t="shared" si="194"/>
        <v>1</v>
      </c>
      <c r="S756" s="101" t="b">
        <f t="shared" si="195"/>
        <v>1</v>
      </c>
      <c r="T756" s="167">
        <f t="shared" si="196"/>
        <v>0</v>
      </c>
      <c r="U756" s="167">
        <f t="shared" si="197"/>
        <v>0</v>
      </c>
      <c r="V756" s="167">
        <f t="shared" si="198"/>
        <v>0</v>
      </c>
    </row>
    <row r="757" spans="1:22" s="97" customFormat="1" ht="20.100000000000001" customHeight="1">
      <c r="A757" s="222"/>
      <c r="B757" s="243"/>
      <c r="C757" s="239"/>
      <c r="D757" s="239"/>
      <c r="E757" s="240"/>
      <c r="F757" s="240"/>
      <c r="G757" s="240"/>
      <c r="H757" s="240"/>
      <c r="I757" s="240"/>
      <c r="J757" s="240"/>
      <c r="K757" s="243"/>
      <c r="L757" s="239"/>
      <c r="M757" s="239"/>
      <c r="N757" s="240"/>
      <c r="O757" s="240"/>
      <c r="P757" s="240"/>
      <c r="Q757" s="101" t="b">
        <f t="shared" si="193"/>
        <v>1</v>
      </c>
      <c r="R757" s="101" t="b">
        <f t="shared" si="194"/>
        <v>1</v>
      </c>
      <c r="S757" s="101" t="b">
        <f t="shared" si="195"/>
        <v>1</v>
      </c>
      <c r="T757" s="167">
        <f t="shared" si="196"/>
        <v>0</v>
      </c>
      <c r="U757" s="167">
        <f t="shared" si="197"/>
        <v>0</v>
      </c>
      <c r="V757" s="167">
        <f t="shared" si="198"/>
        <v>0</v>
      </c>
    </row>
    <row r="758" spans="1:22" s="101" customFormat="1" ht="20.100000000000001" customHeight="1">
      <c r="A758" s="345"/>
      <c r="B758" s="232" t="s">
        <v>615</v>
      </c>
      <c r="C758" s="233" t="s">
        <v>421</v>
      </c>
      <c r="D758" s="233" t="s">
        <v>90</v>
      </c>
      <c r="E758" s="234">
        <f>E759</f>
        <v>22656.49</v>
      </c>
      <c r="F758" s="234">
        <f>F759</f>
        <v>22656.49</v>
      </c>
      <c r="G758" s="234">
        <f>G759</f>
        <v>22656.49</v>
      </c>
      <c r="H758" s="234">
        <v>22656.49</v>
      </c>
      <c r="I758" s="234">
        <v>22656.49</v>
      </c>
      <c r="J758" s="234">
        <v>22656.49</v>
      </c>
      <c r="K758" s="232" t="s">
        <v>615</v>
      </c>
      <c r="L758" s="233" t="s">
        <v>421</v>
      </c>
      <c r="M758" s="233" t="s">
        <v>90</v>
      </c>
      <c r="N758" s="234">
        <v>22641.440000000002</v>
      </c>
      <c r="O758" s="234">
        <v>22641.440000000002</v>
      </c>
      <c r="P758" s="234">
        <v>22641.440000000002</v>
      </c>
      <c r="Q758" s="101" t="b">
        <f t="shared" si="193"/>
        <v>1</v>
      </c>
      <c r="R758" s="101" t="b">
        <f t="shared" si="194"/>
        <v>1</v>
      </c>
      <c r="S758" s="101" t="b">
        <f t="shared" si="195"/>
        <v>1</v>
      </c>
      <c r="T758" s="167">
        <f t="shared" si="196"/>
        <v>15.049999999999272</v>
      </c>
      <c r="U758" s="167">
        <f t="shared" si="197"/>
        <v>15.049999999999272</v>
      </c>
      <c r="V758" s="167">
        <f t="shared" si="198"/>
        <v>15.049999999999272</v>
      </c>
    </row>
    <row r="759" spans="1:22" s="102" customFormat="1" ht="20.100000000000001" customHeight="1">
      <c r="A759" s="346"/>
      <c r="B759" s="241" t="s">
        <v>616</v>
      </c>
      <c r="C759" s="236" t="s">
        <v>422</v>
      </c>
      <c r="D759" s="236" t="s">
        <v>90</v>
      </c>
      <c r="E759" s="237">
        <f>E760+E764+E766</f>
        <v>22656.49</v>
      </c>
      <c r="F759" s="237">
        <f t="shared" ref="F759:G759" si="203">F760+F764+F766</f>
        <v>22656.49</v>
      </c>
      <c r="G759" s="237">
        <f t="shared" si="203"/>
        <v>22656.49</v>
      </c>
      <c r="H759" s="237">
        <v>22656.49</v>
      </c>
      <c r="I759" s="237">
        <v>22656.49</v>
      </c>
      <c r="J759" s="237">
        <v>22656.49</v>
      </c>
      <c r="K759" s="241" t="s">
        <v>616</v>
      </c>
      <c r="L759" s="236" t="s">
        <v>422</v>
      </c>
      <c r="M759" s="236" t="s">
        <v>90</v>
      </c>
      <c r="N759" s="237">
        <v>22641.440000000002</v>
      </c>
      <c r="O759" s="237">
        <v>22641.440000000002</v>
      </c>
      <c r="P759" s="237">
        <v>22641.440000000002</v>
      </c>
      <c r="Q759" s="101" t="b">
        <f t="shared" si="193"/>
        <v>1</v>
      </c>
      <c r="R759" s="101" t="b">
        <f t="shared" si="194"/>
        <v>1</v>
      </c>
      <c r="S759" s="101" t="b">
        <f t="shared" si="195"/>
        <v>1</v>
      </c>
      <c r="T759" s="167">
        <f t="shared" si="196"/>
        <v>15.049999999999272</v>
      </c>
      <c r="U759" s="167">
        <f t="shared" si="197"/>
        <v>15.049999999999272</v>
      </c>
      <c r="V759" s="167">
        <f t="shared" si="198"/>
        <v>15.049999999999272</v>
      </c>
    </row>
    <row r="760" spans="1:22" s="97" customFormat="1" ht="20.100000000000001" customHeight="1">
      <c r="A760" s="222"/>
      <c r="B760" s="178" t="s">
        <v>151</v>
      </c>
      <c r="C760" s="239" t="s">
        <v>423</v>
      </c>
      <c r="D760" s="239" t="s">
        <v>90</v>
      </c>
      <c r="E760" s="240">
        <f>SUM(E761:E763)</f>
        <v>755.37</v>
      </c>
      <c r="F760" s="240">
        <f>SUM(F761:F763)</f>
        <v>755.37</v>
      </c>
      <c r="G760" s="240">
        <f>SUM(G761:G763)</f>
        <v>755.37</v>
      </c>
      <c r="H760" s="240">
        <v>755.37</v>
      </c>
      <c r="I760" s="240">
        <v>755.37</v>
      </c>
      <c r="J760" s="240">
        <v>755.37</v>
      </c>
      <c r="K760" s="178" t="s">
        <v>151</v>
      </c>
      <c r="L760" s="239" t="s">
        <v>423</v>
      </c>
      <c r="M760" s="239" t="s">
        <v>90</v>
      </c>
      <c r="N760" s="240">
        <v>755.37</v>
      </c>
      <c r="O760" s="240">
        <v>755.37</v>
      </c>
      <c r="P760" s="240">
        <v>755.37</v>
      </c>
      <c r="Q760" s="101" t="b">
        <f t="shared" si="193"/>
        <v>1</v>
      </c>
      <c r="R760" s="101" t="b">
        <f t="shared" si="194"/>
        <v>1</v>
      </c>
      <c r="S760" s="101" t="b">
        <f t="shared" si="195"/>
        <v>1</v>
      </c>
      <c r="T760" s="167">
        <f t="shared" si="196"/>
        <v>0</v>
      </c>
      <c r="U760" s="167">
        <f t="shared" si="197"/>
        <v>0</v>
      </c>
      <c r="V760" s="167">
        <f t="shared" si="198"/>
        <v>0</v>
      </c>
    </row>
    <row r="761" spans="1:22" s="97" customFormat="1" ht="20.100000000000001" customHeight="1">
      <c r="A761" s="222"/>
      <c r="B761" s="180" t="s">
        <v>144</v>
      </c>
      <c r="C761" s="239" t="s">
        <v>423</v>
      </c>
      <c r="D761" s="239" t="s">
        <v>152</v>
      </c>
      <c r="E761" s="240">
        <f>'Вед-я стр-ра'!H889</f>
        <v>202.21</v>
      </c>
      <c r="F761" s="240">
        <f>'Вед-я стр-ра'!I889</f>
        <v>202.21</v>
      </c>
      <c r="G761" s="240">
        <f>'Вед-я стр-ра'!J889</f>
        <v>202.21</v>
      </c>
      <c r="H761" s="240">
        <v>202.21</v>
      </c>
      <c r="I761" s="240">
        <v>202.21</v>
      </c>
      <c r="J761" s="240">
        <v>202.21</v>
      </c>
      <c r="K761" s="180" t="s">
        <v>144</v>
      </c>
      <c r="L761" s="239" t="s">
        <v>423</v>
      </c>
      <c r="M761" s="239" t="s">
        <v>152</v>
      </c>
      <c r="N761" s="240">
        <v>202.21</v>
      </c>
      <c r="O761" s="240">
        <v>202.21</v>
      </c>
      <c r="P761" s="240">
        <v>202.21</v>
      </c>
      <c r="Q761" s="101" t="b">
        <f t="shared" ref="Q761:Q824" si="204">B761=K761</f>
        <v>1</v>
      </c>
      <c r="R761" s="101" t="b">
        <f t="shared" ref="R761:R824" si="205">C761=L761</f>
        <v>1</v>
      </c>
      <c r="S761" s="101" t="b">
        <f t="shared" ref="S761:S824" si="206">D761=M761</f>
        <v>1</v>
      </c>
      <c r="T761" s="167">
        <f t="shared" ref="T761:T824" si="207">E761-N761</f>
        <v>0</v>
      </c>
      <c r="U761" s="167">
        <f t="shared" ref="U761:U824" si="208">F761-O761</f>
        <v>0</v>
      </c>
      <c r="V761" s="167">
        <f t="shared" ref="V761:V824" si="209">G761-P761</f>
        <v>0</v>
      </c>
    </row>
    <row r="762" spans="1:22" s="97" customFormat="1" ht="20.100000000000001" customHeight="1">
      <c r="A762" s="222"/>
      <c r="B762" s="178" t="s">
        <v>145</v>
      </c>
      <c r="C762" s="239" t="s">
        <v>423</v>
      </c>
      <c r="D762" s="239" t="s">
        <v>153</v>
      </c>
      <c r="E762" s="240">
        <f>'Вед-я стр-ра'!H890</f>
        <v>551.04</v>
      </c>
      <c r="F762" s="240">
        <f>'Вед-я стр-ра'!I890</f>
        <v>551.04</v>
      </c>
      <c r="G762" s="240">
        <f>'Вед-я стр-ра'!J890</f>
        <v>551.04</v>
      </c>
      <c r="H762" s="240">
        <v>551.04</v>
      </c>
      <c r="I762" s="240">
        <v>551.04</v>
      </c>
      <c r="J762" s="240">
        <v>551.04</v>
      </c>
      <c r="K762" s="178" t="s">
        <v>145</v>
      </c>
      <c r="L762" s="239" t="s">
        <v>423</v>
      </c>
      <c r="M762" s="239" t="s">
        <v>153</v>
      </c>
      <c r="N762" s="240">
        <v>551.04</v>
      </c>
      <c r="O762" s="240">
        <v>551.04</v>
      </c>
      <c r="P762" s="240">
        <v>551.04</v>
      </c>
      <c r="Q762" s="101" t="b">
        <f t="shared" si="204"/>
        <v>1</v>
      </c>
      <c r="R762" s="101" t="b">
        <f t="shared" si="205"/>
        <v>1</v>
      </c>
      <c r="S762" s="101" t="b">
        <f t="shared" si="206"/>
        <v>1</v>
      </c>
      <c r="T762" s="167">
        <f t="shared" si="207"/>
        <v>0</v>
      </c>
      <c r="U762" s="167">
        <f t="shared" si="208"/>
        <v>0</v>
      </c>
      <c r="V762" s="167">
        <f t="shared" si="209"/>
        <v>0</v>
      </c>
    </row>
    <row r="763" spans="1:22" s="97" customFormat="1" ht="20.100000000000001" customHeight="1">
      <c r="A763" s="222"/>
      <c r="B763" s="180" t="s">
        <v>137</v>
      </c>
      <c r="C763" s="239" t="s">
        <v>423</v>
      </c>
      <c r="D763" s="239" t="s">
        <v>155</v>
      </c>
      <c r="E763" s="240">
        <f>'Вед-я стр-ра'!H891</f>
        <v>2.12</v>
      </c>
      <c r="F763" s="240">
        <f>'Вед-я стр-ра'!I891</f>
        <v>2.12</v>
      </c>
      <c r="G763" s="240">
        <f>'Вед-я стр-ра'!J891</f>
        <v>2.12</v>
      </c>
      <c r="H763" s="240">
        <v>2.12</v>
      </c>
      <c r="I763" s="240">
        <v>2.12</v>
      </c>
      <c r="J763" s="240">
        <v>2.12</v>
      </c>
      <c r="K763" s="180" t="s">
        <v>137</v>
      </c>
      <c r="L763" s="239" t="s">
        <v>423</v>
      </c>
      <c r="M763" s="239" t="s">
        <v>155</v>
      </c>
      <c r="N763" s="240">
        <v>2.12</v>
      </c>
      <c r="O763" s="240">
        <v>2.12</v>
      </c>
      <c r="P763" s="240">
        <v>2.12</v>
      </c>
      <c r="Q763" s="101" t="b">
        <f t="shared" si="204"/>
        <v>1</v>
      </c>
      <c r="R763" s="101" t="b">
        <f t="shared" si="205"/>
        <v>1</v>
      </c>
      <c r="S763" s="101" t="b">
        <f t="shared" si="206"/>
        <v>1</v>
      </c>
      <c r="T763" s="167">
        <f t="shared" si="207"/>
        <v>0</v>
      </c>
      <c r="U763" s="167">
        <f t="shared" si="208"/>
        <v>0</v>
      </c>
      <c r="V763" s="167">
        <f t="shared" si="209"/>
        <v>0</v>
      </c>
    </row>
    <row r="764" spans="1:22" s="97" customFormat="1" ht="20.100000000000001" customHeight="1">
      <c r="A764" s="222"/>
      <c r="B764" s="178" t="s">
        <v>161</v>
      </c>
      <c r="C764" s="239" t="s">
        <v>424</v>
      </c>
      <c r="D764" s="239" t="s">
        <v>90</v>
      </c>
      <c r="E764" s="240">
        <f>E765</f>
        <v>10277.700000000001</v>
      </c>
      <c r="F764" s="240">
        <f>F765</f>
        <v>10277.700000000001</v>
      </c>
      <c r="G764" s="240">
        <f>G765</f>
        <v>10277.700000000001</v>
      </c>
      <c r="H764" s="240">
        <v>10277.700000000001</v>
      </c>
      <c r="I764" s="240">
        <v>10277.700000000001</v>
      </c>
      <c r="J764" s="240">
        <v>10277.700000000001</v>
      </c>
      <c r="K764" s="178" t="s">
        <v>161</v>
      </c>
      <c r="L764" s="239" t="s">
        <v>424</v>
      </c>
      <c r="M764" s="239" t="s">
        <v>90</v>
      </c>
      <c r="N764" s="240">
        <v>10277.700000000001</v>
      </c>
      <c r="O764" s="240">
        <v>10277.700000000001</v>
      </c>
      <c r="P764" s="240">
        <v>10277.700000000001</v>
      </c>
      <c r="Q764" s="101" t="b">
        <f t="shared" si="204"/>
        <v>1</v>
      </c>
      <c r="R764" s="101" t="b">
        <f t="shared" si="205"/>
        <v>1</v>
      </c>
      <c r="S764" s="101" t="b">
        <f t="shared" si="206"/>
        <v>1</v>
      </c>
      <c r="T764" s="167">
        <f t="shared" si="207"/>
        <v>0</v>
      </c>
      <c r="U764" s="167">
        <f t="shared" si="208"/>
        <v>0</v>
      </c>
      <c r="V764" s="167">
        <f t="shared" si="209"/>
        <v>0</v>
      </c>
    </row>
    <row r="765" spans="1:22" s="97" customFormat="1" ht="20.100000000000001" customHeight="1">
      <c r="A765" s="222"/>
      <c r="B765" s="180" t="s">
        <v>144</v>
      </c>
      <c r="C765" s="239" t="s">
        <v>424</v>
      </c>
      <c r="D765" s="239" t="s">
        <v>152</v>
      </c>
      <c r="E765" s="240">
        <f>'Вед-я стр-ра'!H893</f>
        <v>10277.700000000001</v>
      </c>
      <c r="F765" s="240">
        <f>'Вед-я стр-ра'!I893</f>
        <v>10277.700000000001</v>
      </c>
      <c r="G765" s="240">
        <f>'Вед-я стр-ра'!J893</f>
        <v>10277.700000000001</v>
      </c>
      <c r="H765" s="240">
        <v>10277.700000000001</v>
      </c>
      <c r="I765" s="240">
        <v>10277.700000000001</v>
      </c>
      <c r="J765" s="240">
        <v>10277.700000000001</v>
      </c>
      <c r="K765" s="180" t="s">
        <v>144</v>
      </c>
      <c r="L765" s="239" t="s">
        <v>424</v>
      </c>
      <c r="M765" s="239" t="s">
        <v>152</v>
      </c>
      <c r="N765" s="240">
        <v>10277.700000000001</v>
      </c>
      <c r="O765" s="240">
        <v>10277.700000000001</v>
      </c>
      <c r="P765" s="240">
        <v>10277.700000000001</v>
      </c>
      <c r="Q765" s="101" t="b">
        <f t="shared" si="204"/>
        <v>1</v>
      </c>
      <c r="R765" s="101" t="b">
        <f t="shared" si="205"/>
        <v>1</v>
      </c>
      <c r="S765" s="101" t="b">
        <f t="shared" si="206"/>
        <v>1</v>
      </c>
      <c r="T765" s="167">
        <f t="shared" si="207"/>
        <v>0</v>
      </c>
      <c r="U765" s="167">
        <f t="shared" si="208"/>
        <v>0</v>
      </c>
      <c r="V765" s="167">
        <f t="shared" si="209"/>
        <v>0</v>
      </c>
    </row>
    <row r="766" spans="1:22" s="97" customFormat="1" ht="20.100000000000001" customHeight="1">
      <c r="A766" s="222"/>
      <c r="B766" s="178" t="s">
        <v>254</v>
      </c>
      <c r="C766" s="239" t="s">
        <v>791</v>
      </c>
      <c r="D766" s="239" t="s">
        <v>90</v>
      </c>
      <c r="E766" s="183">
        <f>SUM(E767:E768)</f>
        <v>11623.42</v>
      </c>
      <c r="F766" s="183">
        <f>SUM(F767:F768)</f>
        <v>11623.42</v>
      </c>
      <c r="G766" s="183">
        <f>SUM(G767:G768)</f>
        <v>11623.42</v>
      </c>
      <c r="H766" s="183">
        <v>11623.42</v>
      </c>
      <c r="I766" s="183">
        <v>11623.42</v>
      </c>
      <c r="J766" s="183">
        <v>11623.42</v>
      </c>
      <c r="K766" s="178" t="s">
        <v>254</v>
      </c>
      <c r="L766" s="239" t="s">
        <v>791</v>
      </c>
      <c r="M766" s="239" t="s">
        <v>90</v>
      </c>
      <c r="N766" s="183">
        <v>11608.37</v>
      </c>
      <c r="O766" s="183">
        <v>11608.37</v>
      </c>
      <c r="P766" s="183">
        <v>11608.37</v>
      </c>
      <c r="Q766" s="101" t="b">
        <f t="shared" si="204"/>
        <v>1</v>
      </c>
      <c r="R766" s="101" t="b">
        <f t="shared" si="205"/>
        <v>1</v>
      </c>
      <c r="S766" s="101" t="b">
        <f t="shared" si="206"/>
        <v>1</v>
      </c>
      <c r="T766" s="167">
        <f t="shared" si="207"/>
        <v>15.049999999999272</v>
      </c>
      <c r="U766" s="167">
        <f t="shared" si="208"/>
        <v>15.049999999999272</v>
      </c>
      <c r="V766" s="167">
        <f t="shared" si="209"/>
        <v>15.049999999999272</v>
      </c>
    </row>
    <row r="767" spans="1:22" s="97" customFormat="1" ht="20.100000000000001" customHeight="1">
      <c r="A767" s="222"/>
      <c r="B767" s="180" t="s">
        <v>143</v>
      </c>
      <c r="C767" s="239" t="s">
        <v>791</v>
      </c>
      <c r="D767" s="239" t="s">
        <v>157</v>
      </c>
      <c r="E767" s="183">
        <f>'Вед-я стр-ра'!H895</f>
        <v>10483.42</v>
      </c>
      <c r="F767" s="183">
        <f>'Вед-я стр-ра'!I895</f>
        <v>10483.42</v>
      </c>
      <c r="G767" s="183">
        <f>'Вед-я стр-ра'!J895</f>
        <v>10483.42</v>
      </c>
      <c r="H767" s="183">
        <v>10483.42</v>
      </c>
      <c r="I767" s="183">
        <v>10483.42</v>
      </c>
      <c r="J767" s="183">
        <v>10483.42</v>
      </c>
      <c r="K767" s="180" t="s">
        <v>143</v>
      </c>
      <c r="L767" s="239" t="s">
        <v>791</v>
      </c>
      <c r="M767" s="239" t="s">
        <v>157</v>
      </c>
      <c r="N767" s="183">
        <v>10468.370000000001</v>
      </c>
      <c r="O767" s="183">
        <v>10468.370000000001</v>
      </c>
      <c r="P767" s="183">
        <v>10468.370000000001</v>
      </c>
      <c r="Q767" s="101" t="b">
        <f t="shared" si="204"/>
        <v>1</v>
      </c>
      <c r="R767" s="101" t="b">
        <f t="shared" si="205"/>
        <v>1</v>
      </c>
      <c r="S767" s="101" t="b">
        <f t="shared" si="206"/>
        <v>1</v>
      </c>
      <c r="T767" s="167">
        <f t="shared" si="207"/>
        <v>15.049999999999272</v>
      </c>
      <c r="U767" s="167">
        <f t="shared" si="208"/>
        <v>15.049999999999272</v>
      </c>
      <c r="V767" s="167">
        <f t="shared" si="209"/>
        <v>15.049999999999272</v>
      </c>
    </row>
    <row r="768" spans="1:22" s="97" customFormat="1" ht="20.100000000000001" customHeight="1">
      <c r="A768" s="222"/>
      <c r="B768" s="182" t="s">
        <v>145</v>
      </c>
      <c r="C768" s="239" t="s">
        <v>791</v>
      </c>
      <c r="D768" s="239" t="s">
        <v>153</v>
      </c>
      <c r="E768" s="183">
        <f>'Вед-я стр-ра'!H896</f>
        <v>1140</v>
      </c>
      <c r="F768" s="183">
        <f>'Вед-я стр-ра'!I896</f>
        <v>1140</v>
      </c>
      <c r="G768" s="183">
        <f>'Вед-я стр-ра'!J896</f>
        <v>1140</v>
      </c>
      <c r="H768" s="183">
        <v>1140</v>
      </c>
      <c r="I768" s="183">
        <v>1140</v>
      </c>
      <c r="J768" s="183">
        <v>1140</v>
      </c>
      <c r="K768" s="182" t="s">
        <v>145</v>
      </c>
      <c r="L768" s="239" t="s">
        <v>791</v>
      </c>
      <c r="M768" s="239" t="s">
        <v>153</v>
      </c>
      <c r="N768" s="183">
        <v>1140</v>
      </c>
      <c r="O768" s="183">
        <v>1140</v>
      </c>
      <c r="P768" s="183">
        <v>1140</v>
      </c>
      <c r="Q768" s="101" t="b">
        <f t="shared" si="204"/>
        <v>1</v>
      </c>
      <c r="R768" s="101" t="b">
        <f t="shared" si="205"/>
        <v>1</v>
      </c>
      <c r="S768" s="101" t="b">
        <f t="shared" si="206"/>
        <v>1</v>
      </c>
      <c r="T768" s="167">
        <f t="shared" si="207"/>
        <v>0</v>
      </c>
      <c r="U768" s="167">
        <f t="shared" si="208"/>
        <v>0</v>
      </c>
      <c r="V768" s="167">
        <f t="shared" si="209"/>
        <v>0</v>
      </c>
    </row>
    <row r="769" spans="1:22" s="97" customFormat="1" ht="20.100000000000001" customHeight="1">
      <c r="A769" s="222"/>
      <c r="B769" s="180"/>
      <c r="C769" s="239"/>
      <c r="D769" s="239"/>
      <c r="E769" s="240"/>
      <c r="F769" s="240"/>
      <c r="G769" s="240"/>
      <c r="H769" s="240"/>
      <c r="I769" s="240"/>
      <c r="J769" s="240"/>
      <c r="K769" s="180"/>
      <c r="L769" s="239"/>
      <c r="M769" s="239"/>
      <c r="N769" s="240"/>
      <c r="O769" s="240"/>
      <c r="P769" s="240"/>
      <c r="Q769" s="101" t="b">
        <f t="shared" si="204"/>
        <v>1</v>
      </c>
      <c r="R769" s="101" t="b">
        <f t="shared" si="205"/>
        <v>1</v>
      </c>
      <c r="S769" s="101" t="b">
        <f t="shared" si="206"/>
        <v>1</v>
      </c>
      <c r="T769" s="167">
        <f t="shared" si="207"/>
        <v>0</v>
      </c>
      <c r="U769" s="167">
        <f t="shared" si="208"/>
        <v>0</v>
      </c>
      <c r="V769" s="167">
        <f t="shared" si="209"/>
        <v>0</v>
      </c>
    </row>
    <row r="770" spans="1:22" s="101" customFormat="1" ht="20.100000000000001" customHeight="1">
      <c r="A770" s="345"/>
      <c r="B770" s="232" t="s">
        <v>176</v>
      </c>
      <c r="C770" s="233" t="s">
        <v>425</v>
      </c>
      <c r="D770" s="233" t="s">
        <v>90</v>
      </c>
      <c r="E770" s="234">
        <f>E771</f>
        <v>47293.36</v>
      </c>
      <c r="F770" s="234">
        <f>F771</f>
        <v>47316.909999999996</v>
      </c>
      <c r="G770" s="234">
        <f>G771</f>
        <v>47341.909999999996</v>
      </c>
      <c r="H770" s="234">
        <v>47293.54</v>
      </c>
      <c r="I770" s="234">
        <v>47317.09</v>
      </c>
      <c r="J770" s="234">
        <v>47342.09</v>
      </c>
      <c r="K770" s="232" t="s">
        <v>176</v>
      </c>
      <c r="L770" s="233" t="s">
        <v>425</v>
      </c>
      <c r="M770" s="233" t="s">
        <v>90</v>
      </c>
      <c r="N770" s="234">
        <v>47293.54</v>
      </c>
      <c r="O770" s="234">
        <v>47317.09</v>
      </c>
      <c r="P770" s="234">
        <v>47342.09</v>
      </c>
      <c r="Q770" s="101" t="b">
        <f t="shared" si="204"/>
        <v>1</v>
      </c>
      <c r="R770" s="101" t="b">
        <f t="shared" si="205"/>
        <v>1</v>
      </c>
      <c r="S770" s="101" t="b">
        <f t="shared" si="206"/>
        <v>1</v>
      </c>
      <c r="T770" s="167">
        <f t="shared" si="207"/>
        <v>-0.18000000000029104</v>
      </c>
      <c r="U770" s="167">
        <f t="shared" si="208"/>
        <v>-0.18000000000029104</v>
      </c>
      <c r="V770" s="167">
        <f t="shared" si="209"/>
        <v>-0.18000000000029104</v>
      </c>
    </row>
    <row r="771" spans="1:22" s="102" customFormat="1" ht="20.100000000000001" customHeight="1">
      <c r="A771" s="346"/>
      <c r="B771" s="241" t="s">
        <v>177</v>
      </c>
      <c r="C771" s="236" t="s">
        <v>426</v>
      </c>
      <c r="D771" s="236" t="s">
        <v>90</v>
      </c>
      <c r="E771" s="237">
        <f>E772+E776+E778+E781</f>
        <v>47293.36</v>
      </c>
      <c r="F771" s="237">
        <f t="shared" ref="F771:G771" si="210">F772+F776+F778+F781</f>
        <v>47316.909999999996</v>
      </c>
      <c r="G771" s="237">
        <f t="shared" si="210"/>
        <v>47341.909999999996</v>
      </c>
      <c r="H771" s="237">
        <v>47293.54</v>
      </c>
      <c r="I771" s="237">
        <v>47317.09</v>
      </c>
      <c r="J771" s="237">
        <v>47342.09</v>
      </c>
      <c r="K771" s="241" t="s">
        <v>177</v>
      </c>
      <c r="L771" s="236" t="s">
        <v>426</v>
      </c>
      <c r="M771" s="236" t="s">
        <v>90</v>
      </c>
      <c r="N771" s="237">
        <v>47293.54</v>
      </c>
      <c r="O771" s="237">
        <v>47317.09</v>
      </c>
      <c r="P771" s="237">
        <v>47342.09</v>
      </c>
      <c r="Q771" s="101" t="b">
        <f t="shared" si="204"/>
        <v>1</v>
      </c>
      <c r="R771" s="101" t="b">
        <f t="shared" si="205"/>
        <v>1</v>
      </c>
      <c r="S771" s="101" t="b">
        <f t="shared" si="206"/>
        <v>1</v>
      </c>
      <c r="T771" s="167">
        <f t="shared" si="207"/>
        <v>-0.18000000000029104</v>
      </c>
      <c r="U771" s="167">
        <f t="shared" si="208"/>
        <v>-0.18000000000029104</v>
      </c>
      <c r="V771" s="167">
        <f t="shared" si="209"/>
        <v>-0.18000000000029104</v>
      </c>
    </row>
    <row r="772" spans="1:22" s="97" customFormat="1" ht="20.100000000000001" customHeight="1">
      <c r="A772" s="222"/>
      <c r="B772" s="178" t="s">
        <v>151</v>
      </c>
      <c r="C772" s="239" t="s">
        <v>427</v>
      </c>
      <c r="D772" s="239" t="s">
        <v>90</v>
      </c>
      <c r="E772" s="240">
        <f>SUM(E773:E775)</f>
        <v>3606.23</v>
      </c>
      <c r="F772" s="240">
        <f>SUM(F773:F775)</f>
        <v>3629.7799999999997</v>
      </c>
      <c r="G772" s="240">
        <f>SUM(G773:G775)</f>
        <v>3654.7799999999997</v>
      </c>
      <c r="H772" s="240">
        <v>3606.23</v>
      </c>
      <c r="I772" s="240">
        <v>3629.7799999999997</v>
      </c>
      <c r="J772" s="240">
        <v>3654.7799999999997</v>
      </c>
      <c r="K772" s="178" t="s">
        <v>151</v>
      </c>
      <c r="L772" s="239" t="s">
        <v>427</v>
      </c>
      <c r="M772" s="239" t="s">
        <v>90</v>
      </c>
      <c r="N772" s="240">
        <v>3606.23</v>
      </c>
      <c r="O772" s="240">
        <v>3629.7799999999997</v>
      </c>
      <c r="P772" s="240">
        <v>3654.7799999999997</v>
      </c>
      <c r="Q772" s="101" t="b">
        <f t="shared" si="204"/>
        <v>1</v>
      </c>
      <c r="R772" s="101" t="b">
        <f t="shared" si="205"/>
        <v>1</v>
      </c>
      <c r="S772" s="101" t="b">
        <f t="shared" si="206"/>
        <v>1</v>
      </c>
      <c r="T772" s="167">
        <f t="shared" si="207"/>
        <v>0</v>
      </c>
      <c r="U772" s="167">
        <f t="shared" si="208"/>
        <v>0</v>
      </c>
      <c r="V772" s="167">
        <f t="shared" si="209"/>
        <v>0</v>
      </c>
    </row>
    <row r="773" spans="1:22" s="97" customFormat="1" ht="20.100000000000001" customHeight="1">
      <c r="A773" s="222"/>
      <c r="B773" s="180" t="s">
        <v>144</v>
      </c>
      <c r="C773" s="239" t="s">
        <v>427</v>
      </c>
      <c r="D773" s="239" t="s">
        <v>152</v>
      </c>
      <c r="E773" s="240">
        <f>'Вед-я стр-ра'!H904</f>
        <v>620.48</v>
      </c>
      <c r="F773" s="240">
        <f>'Вед-я стр-ра'!I904</f>
        <v>620.48</v>
      </c>
      <c r="G773" s="240">
        <f>'Вед-я стр-ра'!J904</f>
        <v>620.48</v>
      </c>
      <c r="H773" s="240">
        <v>620.48</v>
      </c>
      <c r="I773" s="240">
        <v>620.48</v>
      </c>
      <c r="J773" s="240">
        <v>620.48</v>
      </c>
      <c r="K773" s="180" t="s">
        <v>144</v>
      </c>
      <c r="L773" s="239" t="s">
        <v>427</v>
      </c>
      <c r="M773" s="239" t="s">
        <v>152</v>
      </c>
      <c r="N773" s="240">
        <v>620.48</v>
      </c>
      <c r="O773" s="240">
        <v>620.48</v>
      </c>
      <c r="P773" s="240">
        <v>620.48</v>
      </c>
      <c r="Q773" s="101" t="b">
        <f t="shared" si="204"/>
        <v>1</v>
      </c>
      <c r="R773" s="101" t="b">
        <f t="shared" si="205"/>
        <v>1</v>
      </c>
      <c r="S773" s="101" t="b">
        <f t="shared" si="206"/>
        <v>1</v>
      </c>
      <c r="T773" s="167">
        <f t="shared" si="207"/>
        <v>0</v>
      </c>
      <c r="U773" s="167">
        <f t="shared" si="208"/>
        <v>0</v>
      </c>
      <c r="V773" s="167">
        <f t="shared" si="209"/>
        <v>0</v>
      </c>
    </row>
    <row r="774" spans="1:22" s="97" customFormat="1" ht="20.100000000000001" customHeight="1">
      <c r="A774" s="222"/>
      <c r="B774" s="178" t="s">
        <v>145</v>
      </c>
      <c r="C774" s="239" t="s">
        <v>427</v>
      </c>
      <c r="D774" s="239" t="s">
        <v>153</v>
      </c>
      <c r="E774" s="240">
        <f>'Вед-я стр-ра'!H905</f>
        <v>2893.38</v>
      </c>
      <c r="F774" s="240">
        <f>'Вед-я стр-ра'!I905</f>
        <v>2916.93</v>
      </c>
      <c r="G774" s="240">
        <f>'Вед-я стр-ра'!J905</f>
        <v>2941.93</v>
      </c>
      <c r="H774" s="240">
        <v>2893.38</v>
      </c>
      <c r="I774" s="240">
        <v>2916.93</v>
      </c>
      <c r="J774" s="240">
        <v>2941.93</v>
      </c>
      <c r="K774" s="178" t="s">
        <v>145</v>
      </c>
      <c r="L774" s="239" t="s">
        <v>427</v>
      </c>
      <c r="M774" s="239" t="s">
        <v>153</v>
      </c>
      <c r="N774" s="240">
        <v>2893.38</v>
      </c>
      <c r="O774" s="240">
        <v>2916.93</v>
      </c>
      <c r="P774" s="240">
        <v>2941.93</v>
      </c>
      <c r="Q774" s="101" t="b">
        <f t="shared" si="204"/>
        <v>1</v>
      </c>
      <c r="R774" s="101" t="b">
        <f t="shared" si="205"/>
        <v>1</v>
      </c>
      <c r="S774" s="101" t="b">
        <f t="shared" si="206"/>
        <v>1</v>
      </c>
      <c r="T774" s="167">
        <f t="shared" si="207"/>
        <v>0</v>
      </c>
      <c r="U774" s="167">
        <f t="shared" si="208"/>
        <v>0</v>
      </c>
      <c r="V774" s="167">
        <f t="shared" si="209"/>
        <v>0</v>
      </c>
    </row>
    <row r="775" spans="1:22" s="97" customFormat="1" ht="20.100000000000001" customHeight="1">
      <c r="A775" s="222"/>
      <c r="B775" s="180" t="s">
        <v>137</v>
      </c>
      <c r="C775" s="239" t="s">
        <v>427</v>
      </c>
      <c r="D775" s="239" t="s">
        <v>155</v>
      </c>
      <c r="E775" s="240">
        <f>'Вед-я стр-ра'!H906</f>
        <v>92.37</v>
      </c>
      <c r="F775" s="240">
        <f>'Вед-я стр-ра'!I906</f>
        <v>92.37</v>
      </c>
      <c r="G775" s="240">
        <f>'Вед-я стр-ра'!J906</f>
        <v>92.37</v>
      </c>
      <c r="H775" s="240">
        <v>92.37</v>
      </c>
      <c r="I775" s="240">
        <v>92.37</v>
      </c>
      <c r="J775" s="240">
        <v>92.37</v>
      </c>
      <c r="K775" s="180" t="s">
        <v>137</v>
      </c>
      <c r="L775" s="239" t="s">
        <v>427</v>
      </c>
      <c r="M775" s="239" t="s">
        <v>155</v>
      </c>
      <c r="N775" s="240">
        <v>92.37</v>
      </c>
      <c r="O775" s="240">
        <v>92.37</v>
      </c>
      <c r="P775" s="240">
        <v>92.37</v>
      </c>
      <c r="Q775" s="101" t="b">
        <f t="shared" si="204"/>
        <v>1</v>
      </c>
      <c r="R775" s="101" t="b">
        <f t="shared" si="205"/>
        <v>1</v>
      </c>
      <c r="S775" s="101" t="b">
        <f t="shared" si="206"/>
        <v>1</v>
      </c>
      <c r="T775" s="167">
        <f t="shared" si="207"/>
        <v>0</v>
      </c>
      <c r="U775" s="167">
        <f t="shared" si="208"/>
        <v>0</v>
      </c>
      <c r="V775" s="167">
        <f t="shared" si="209"/>
        <v>0</v>
      </c>
    </row>
    <row r="776" spans="1:22" s="97" customFormat="1" ht="20.100000000000001" customHeight="1">
      <c r="A776" s="222"/>
      <c r="B776" s="178" t="s">
        <v>161</v>
      </c>
      <c r="C776" s="239" t="s">
        <v>428</v>
      </c>
      <c r="D776" s="239" t="s">
        <v>90</v>
      </c>
      <c r="E776" s="240">
        <f>E777</f>
        <v>40711.360000000001</v>
      </c>
      <c r="F776" s="240">
        <f>F777</f>
        <v>40711.360000000001</v>
      </c>
      <c r="G776" s="240">
        <f>G777</f>
        <v>40711.360000000001</v>
      </c>
      <c r="H776" s="240">
        <v>40711.360000000001</v>
      </c>
      <c r="I776" s="240">
        <v>40711.360000000001</v>
      </c>
      <c r="J776" s="240">
        <v>40711.360000000001</v>
      </c>
      <c r="K776" s="178" t="s">
        <v>161</v>
      </c>
      <c r="L776" s="239" t="s">
        <v>428</v>
      </c>
      <c r="M776" s="239" t="s">
        <v>90</v>
      </c>
      <c r="N776" s="240">
        <v>40711.360000000001</v>
      </c>
      <c r="O776" s="240">
        <v>40711.360000000001</v>
      </c>
      <c r="P776" s="240">
        <v>40711.360000000001</v>
      </c>
      <c r="Q776" s="101" t="b">
        <f t="shared" si="204"/>
        <v>1</v>
      </c>
      <c r="R776" s="101" t="b">
        <f t="shared" si="205"/>
        <v>1</v>
      </c>
      <c r="S776" s="101" t="b">
        <f t="shared" si="206"/>
        <v>1</v>
      </c>
      <c r="T776" s="167">
        <f t="shared" si="207"/>
        <v>0</v>
      </c>
      <c r="U776" s="167">
        <f t="shared" si="208"/>
        <v>0</v>
      </c>
      <c r="V776" s="167">
        <f t="shared" si="209"/>
        <v>0</v>
      </c>
    </row>
    <row r="777" spans="1:22" s="97" customFormat="1" ht="20.100000000000001" customHeight="1">
      <c r="A777" s="222"/>
      <c r="B777" s="180" t="s">
        <v>144</v>
      </c>
      <c r="C777" s="239" t="s">
        <v>428</v>
      </c>
      <c r="D777" s="239" t="s">
        <v>152</v>
      </c>
      <c r="E777" s="240">
        <f>'Вед-я стр-ра'!H908</f>
        <v>40711.360000000001</v>
      </c>
      <c r="F777" s="240">
        <f>'Вед-я стр-ра'!I908</f>
        <v>40711.360000000001</v>
      </c>
      <c r="G777" s="240">
        <f>'Вед-я стр-ра'!J908</f>
        <v>40711.360000000001</v>
      </c>
      <c r="H777" s="240">
        <v>40711.360000000001</v>
      </c>
      <c r="I777" s="240">
        <v>40711.360000000001</v>
      </c>
      <c r="J777" s="240">
        <v>40711.360000000001</v>
      </c>
      <c r="K777" s="180" t="s">
        <v>144</v>
      </c>
      <c r="L777" s="239" t="s">
        <v>428</v>
      </c>
      <c r="M777" s="239" t="s">
        <v>152</v>
      </c>
      <c r="N777" s="240">
        <v>40711.360000000001</v>
      </c>
      <c r="O777" s="240">
        <v>40711.360000000001</v>
      </c>
      <c r="P777" s="240">
        <v>40711.360000000001</v>
      </c>
      <c r="Q777" s="101" t="b">
        <f t="shared" si="204"/>
        <v>1</v>
      </c>
      <c r="R777" s="101" t="b">
        <f t="shared" si="205"/>
        <v>1</v>
      </c>
      <c r="S777" s="101" t="b">
        <f t="shared" si="206"/>
        <v>1</v>
      </c>
      <c r="T777" s="167">
        <f t="shared" si="207"/>
        <v>0</v>
      </c>
      <c r="U777" s="167">
        <f t="shared" si="208"/>
        <v>0</v>
      </c>
      <c r="V777" s="167">
        <f t="shared" si="209"/>
        <v>0</v>
      </c>
    </row>
    <row r="778" spans="1:22" s="97" customFormat="1" ht="20.100000000000001" customHeight="1">
      <c r="A778" s="222" t="s">
        <v>799</v>
      </c>
      <c r="B778" s="182" t="s">
        <v>848</v>
      </c>
      <c r="C778" s="239" t="s">
        <v>429</v>
      </c>
      <c r="D778" s="239" t="s">
        <v>90</v>
      </c>
      <c r="E778" s="240">
        <f>E779+E780</f>
        <v>1640.06</v>
      </c>
      <c r="F778" s="240">
        <f>F779+F780</f>
        <v>1640.06</v>
      </c>
      <c r="G778" s="240">
        <f>G779+G780</f>
        <v>1640.06</v>
      </c>
      <c r="H778" s="240">
        <v>1640.06</v>
      </c>
      <c r="I778" s="240">
        <v>1640.06</v>
      </c>
      <c r="J778" s="240">
        <v>1640.06</v>
      </c>
      <c r="K778" s="182" t="s">
        <v>848</v>
      </c>
      <c r="L778" s="239" t="s">
        <v>429</v>
      </c>
      <c r="M778" s="239" t="s">
        <v>90</v>
      </c>
      <c r="N778" s="240">
        <v>1640.06</v>
      </c>
      <c r="O778" s="240">
        <v>1640.06</v>
      </c>
      <c r="P778" s="240">
        <v>1640.06</v>
      </c>
      <c r="Q778" s="101" t="b">
        <f t="shared" si="204"/>
        <v>1</v>
      </c>
      <c r="R778" s="101" t="b">
        <f t="shared" si="205"/>
        <v>1</v>
      </c>
      <c r="S778" s="101" t="b">
        <f t="shared" si="206"/>
        <v>1</v>
      </c>
      <c r="T778" s="167">
        <f t="shared" si="207"/>
        <v>0</v>
      </c>
      <c r="U778" s="167">
        <f t="shared" si="208"/>
        <v>0</v>
      </c>
      <c r="V778" s="167">
        <f t="shared" si="209"/>
        <v>0</v>
      </c>
    </row>
    <row r="779" spans="1:22" s="97" customFormat="1" ht="20.100000000000001" customHeight="1">
      <c r="A779" s="222"/>
      <c r="B779" s="180" t="s">
        <v>144</v>
      </c>
      <c r="C779" s="239" t="s">
        <v>429</v>
      </c>
      <c r="D779" s="239" t="s">
        <v>152</v>
      </c>
      <c r="E779" s="240">
        <f>'Вед-я стр-ра'!H910</f>
        <v>1537.3</v>
      </c>
      <c r="F779" s="240">
        <f>'Вед-я стр-ра'!I910</f>
        <v>1537.3</v>
      </c>
      <c r="G779" s="240">
        <f>'Вед-я стр-ра'!J910</f>
        <v>1537.3</v>
      </c>
      <c r="H779" s="240">
        <v>1537.3</v>
      </c>
      <c r="I779" s="240">
        <v>1537.3</v>
      </c>
      <c r="J779" s="240">
        <v>1537.3</v>
      </c>
      <c r="K779" s="180" t="s">
        <v>144</v>
      </c>
      <c r="L779" s="239" t="s">
        <v>429</v>
      </c>
      <c r="M779" s="239" t="s">
        <v>152</v>
      </c>
      <c r="N779" s="240">
        <v>1537.3</v>
      </c>
      <c r="O779" s="240">
        <v>1537.3</v>
      </c>
      <c r="P779" s="240">
        <v>1537.3</v>
      </c>
      <c r="Q779" s="101" t="b">
        <f t="shared" si="204"/>
        <v>1</v>
      </c>
      <c r="R779" s="101" t="b">
        <f t="shared" si="205"/>
        <v>1</v>
      </c>
      <c r="S779" s="101" t="b">
        <f t="shared" si="206"/>
        <v>1</v>
      </c>
      <c r="T779" s="167">
        <f t="shared" si="207"/>
        <v>0</v>
      </c>
      <c r="U779" s="167">
        <f t="shared" si="208"/>
        <v>0</v>
      </c>
      <c r="V779" s="167">
        <f t="shared" si="209"/>
        <v>0</v>
      </c>
    </row>
    <row r="780" spans="1:22" ht="20.100000000000001" customHeight="1">
      <c r="B780" s="178" t="s">
        <v>145</v>
      </c>
      <c r="C780" s="239" t="s">
        <v>429</v>
      </c>
      <c r="D780" s="239" t="s">
        <v>153</v>
      </c>
      <c r="E780" s="240">
        <f>'Вед-я стр-ра'!H911</f>
        <v>102.76</v>
      </c>
      <c r="F780" s="240">
        <f>'Вед-я стр-ра'!I911</f>
        <v>102.76</v>
      </c>
      <c r="G780" s="240">
        <f>'Вед-я стр-ра'!J911</f>
        <v>102.76</v>
      </c>
      <c r="H780" s="240">
        <v>102.76</v>
      </c>
      <c r="I780" s="240">
        <v>102.76</v>
      </c>
      <c r="J780" s="240">
        <v>102.76</v>
      </c>
      <c r="K780" s="178" t="s">
        <v>145</v>
      </c>
      <c r="L780" s="239" t="s">
        <v>429</v>
      </c>
      <c r="M780" s="239" t="s">
        <v>153</v>
      </c>
      <c r="N780" s="240">
        <v>102.76</v>
      </c>
      <c r="O780" s="240">
        <v>102.76</v>
      </c>
      <c r="P780" s="240">
        <v>102.76</v>
      </c>
      <c r="Q780" s="101" t="b">
        <f t="shared" si="204"/>
        <v>1</v>
      </c>
      <c r="R780" s="101" t="b">
        <f t="shared" si="205"/>
        <v>1</v>
      </c>
      <c r="S780" s="101" t="b">
        <f t="shared" si="206"/>
        <v>1</v>
      </c>
      <c r="T780" s="167">
        <f t="shared" si="207"/>
        <v>0</v>
      </c>
      <c r="U780" s="167">
        <f t="shared" si="208"/>
        <v>0</v>
      </c>
      <c r="V780" s="167">
        <f t="shared" si="209"/>
        <v>0</v>
      </c>
    </row>
    <row r="781" spans="1:22" s="97" customFormat="1" ht="20.100000000000001" customHeight="1">
      <c r="A781" s="222" t="s">
        <v>799</v>
      </c>
      <c r="B781" s="54" t="s">
        <v>849</v>
      </c>
      <c r="C781" s="239" t="s">
        <v>430</v>
      </c>
      <c r="D781" s="239" t="s">
        <v>90</v>
      </c>
      <c r="E781" s="240">
        <f>E782</f>
        <v>1335.71</v>
      </c>
      <c r="F781" s="240">
        <f>F782</f>
        <v>1335.71</v>
      </c>
      <c r="G781" s="240">
        <f>G782</f>
        <v>1335.71</v>
      </c>
      <c r="H781" s="240">
        <v>1335.89</v>
      </c>
      <c r="I781" s="240">
        <v>1335.89</v>
      </c>
      <c r="J781" s="240">
        <v>1335.89</v>
      </c>
      <c r="K781" s="54" t="s">
        <v>849</v>
      </c>
      <c r="L781" s="239" t="s">
        <v>430</v>
      </c>
      <c r="M781" s="239" t="s">
        <v>90</v>
      </c>
      <c r="N781" s="240">
        <v>1335.89</v>
      </c>
      <c r="O781" s="240">
        <v>1335.89</v>
      </c>
      <c r="P781" s="240">
        <v>1335.89</v>
      </c>
      <c r="Q781" s="101" t="b">
        <f t="shared" si="204"/>
        <v>1</v>
      </c>
      <c r="R781" s="101" t="b">
        <f t="shared" si="205"/>
        <v>1</v>
      </c>
      <c r="S781" s="101" t="b">
        <f t="shared" si="206"/>
        <v>1</v>
      </c>
      <c r="T781" s="167">
        <f t="shared" si="207"/>
        <v>-0.18000000000006366</v>
      </c>
      <c r="U781" s="167">
        <f t="shared" si="208"/>
        <v>-0.18000000000006366</v>
      </c>
      <c r="V781" s="167">
        <f t="shared" si="209"/>
        <v>-0.18000000000006366</v>
      </c>
    </row>
    <row r="782" spans="1:22" s="97" customFormat="1" ht="20.100000000000001" customHeight="1">
      <c r="A782" s="222"/>
      <c r="B782" s="178" t="s">
        <v>145</v>
      </c>
      <c r="C782" s="239" t="s">
        <v>430</v>
      </c>
      <c r="D782" s="239" t="s">
        <v>153</v>
      </c>
      <c r="E782" s="240">
        <f>'Вед-я стр-ра'!H913</f>
        <v>1335.71</v>
      </c>
      <c r="F782" s="240">
        <f>'Вед-я стр-ра'!I913</f>
        <v>1335.71</v>
      </c>
      <c r="G782" s="240">
        <f>'Вед-я стр-ра'!J913</f>
        <v>1335.71</v>
      </c>
      <c r="H782" s="240">
        <v>1335.89</v>
      </c>
      <c r="I782" s="240">
        <v>1335.89</v>
      </c>
      <c r="J782" s="240">
        <v>1335.89</v>
      </c>
      <c r="K782" s="178" t="s">
        <v>145</v>
      </c>
      <c r="L782" s="239" t="s">
        <v>430</v>
      </c>
      <c r="M782" s="239" t="s">
        <v>153</v>
      </c>
      <c r="N782" s="240">
        <v>1335.89</v>
      </c>
      <c r="O782" s="240">
        <v>1335.89</v>
      </c>
      <c r="P782" s="240">
        <v>1335.89</v>
      </c>
      <c r="Q782" s="101" t="b">
        <f t="shared" si="204"/>
        <v>1</v>
      </c>
      <c r="R782" s="101" t="b">
        <f t="shared" si="205"/>
        <v>1</v>
      </c>
      <c r="S782" s="101" t="b">
        <f t="shared" si="206"/>
        <v>1</v>
      </c>
      <c r="T782" s="167">
        <f t="shared" si="207"/>
        <v>-0.18000000000006366</v>
      </c>
      <c r="U782" s="167">
        <f t="shared" si="208"/>
        <v>-0.18000000000006366</v>
      </c>
      <c r="V782" s="167">
        <f t="shared" si="209"/>
        <v>-0.18000000000006366</v>
      </c>
    </row>
    <row r="783" spans="1:22" ht="20.100000000000001" customHeight="1">
      <c r="B783" s="182"/>
      <c r="C783" s="37"/>
      <c r="D783" s="37"/>
      <c r="E783" s="183"/>
      <c r="F783" s="183"/>
      <c r="G783" s="183"/>
      <c r="H783" s="183"/>
      <c r="I783" s="183"/>
      <c r="J783" s="183"/>
      <c r="K783" s="182"/>
      <c r="L783" s="37"/>
      <c r="M783" s="37"/>
      <c r="N783" s="183"/>
      <c r="O783" s="183"/>
      <c r="P783" s="183"/>
      <c r="Q783" s="101" t="b">
        <f t="shared" si="204"/>
        <v>1</v>
      </c>
      <c r="R783" s="101" t="b">
        <f t="shared" si="205"/>
        <v>1</v>
      </c>
      <c r="S783" s="101" t="b">
        <f t="shared" si="206"/>
        <v>1</v>
      </c>
      <c r="T783" s="167">
        <f t="shared" si="207"/>
        <v>0</v>
      </c>
      <c r="U783" s="167">
        <f t="shared" si="208"/>
        <v>0</v>
      </c>
      <c r="V783" s="167">
        <f t="shared" si="209"/>
        <v>0</v>
      </c>
    </row>
    <row r="784" spans="1:22" s="101" customFormat="1" ht="20.100000000000001" customHeight="1">
      <c r="A784" s="345"/>
      <c r="B784" s="232" t="s">
        <v>179</v>
      </c>
      <c r="C784" s="233" t="s">
        <v>440</v>
      </c>
      <c r="D784" s="233" t="s">
        <v>90</v>
      </c>
      <c r="E784" s="234">
        <f>E785</f>
        <v>45152.37</v>
      </c>
      <c r="F784" s="234">
        <f>F785</f>
        <v>45087.9</v>
      </c>
      <c r="G784" s="234">
        <f>G785</f>
        <v>45138.81</v>
      </c>
      <c r="H784" s="234">
        <v>45152.55</v>
      </c>
      <c r="I784" s="234">
        <v>45088.08</v>
      </c>
      <c r="J784" s="234">
        <v>45138.99</v>
      </c>
      <c r="K784" s="232" t="s">
        <v>179</v>
      </c>
      <c r="L784" s="233" t="s">
        <v>440</v>
      </c>
      <c r="M784" s="233" t="s">
        <v>90</v>
      </c>
      <c r="N784" s="234">
        <v>45152.55</v>
      </c>
      <c r="O784" s="234">
        <v>45088.08</v>
      </c>
      <c r="P784" s="234">
        <v>45138.99</v>
      </c>
      <c r="Q784" s="101" t="b">
        <f t="shared" si="204"/>
        <v>1</v>
      </c>
      <c r="R784" s="101" t="b">
        <f t="shared" si="205"/>
        <v>1</v>
      </c>
      <c r="S784" s="101" t="b">
        <f t="shared" si="206"/>
        <v>1</v>
      </c>
      <c r="T784" s="167">
        <f t="shared" si="207"/>
        <v>-0.18000000000029104</v>
      </c>
      <c r="U784" s="167">
        <f t="shared" si="208"/>
        <v>-0.18000000000029104</v>
      </c>
      <c r="V784" s="167">
        <f t="shared" si="209"/>
        <v>-0.18000000000029104</v>
      </c>
    </row>
    <row r="785" spans="1:22" s="102" customFormat="1" ht="20.100000000000001" customHeight="1">
      <c r="A785" s="346"/>
      <c r="B785" s="241" t="s">
        <v>180</v>
      </c>
      <c r="C785" s="236" t="s">
        <v>441</v>
      </c>
      <c r="D785" s="236" t="s">
        <v>90</v>
      </c>
      <c r="E785" s="237">
        <f>E786+E790+E792+E795</f>
        <v>45152.37</v>
      </c>
      <c r="F785" s="237">
        <f t="shared" ref="F785:G785" si="211">F786+F790+F792+F795</f>
        <v>45087.9</v>
      </c>
      <c r="G785" s="237">
        <f t="shared" si="211"/>
        <v>45138.81</v>
      </c>
      <c r="H785" s="237">
        <v>45152.55</v>
      </c>
      <c r="I785" s="237">
        <v>45088.08</v>
      </c>
      <c r="J785" s="237">
        <v>45138.99</v>
      </c>
      <c r="K785" s="241" t="s">
        <v>180</v>
      </c>
      <c r="L785" s="236" t="s">
        <v>441</v>
      </c>
      <c r="M785" s="236" t="s">
        <v>90</v>
      </c>
      <c r="N785" s="237">
        <v>45152.55</v>
      </c>
      <c r="O785" s="237">
        <v>45088.08</v>
      </c>
      <c r="P785" s="237">
        <v>45138.99</v>
      </c>
      <c r="Q785" s="101" t="b">
        <f t="shared" si="204"/>
        <v>1</v>
      </c>
      <c r="R785" s="101" t="b">
        <f t="shared" si="205"/>
        <v>1</v>
      </c>
      <c r="S785" s="101" t="b">
        <f t="shared" si="206"/>
        <v>1</v>
      </c>
      <c r="T785" s="167">
        <f t="shared" si="207"/>
        <v>-0.18000000000029104</v>
      </c>
      <c r="U785" s="167">
        <f t="shared" si="208"/>
        <v>-0.18000000000029104</v>
      </c>
      <c r="V785" s="167">
        <f t="shared" si="209"/>
        <v>-0.18000000000029104</v>
      </c>
    </row>
    <row r="786" spans="1:22" s="97" customFormat="1" ht="20.100000000000001" customHeight="1">
      <c r="A786" s="222"/>
      <c r="B786" s="178" t="s">
        <v>151</v>
      </c>
      <c r="C786" s="239" t="s">
        <v>442</v>
      </c>
      <c r="D786" s="239" t="s">
        <v>90</v>
      </c>
      <c r="E786" s="240">
        <f>SUM(E787:E789)</f>
        <v>4034.8000000000006</v>
      </c>
      <c r="F786" s="240">
        <f>SUM(F787:F789)</f>
        <v>3970.3300000000004</v>
      </c>
      <c r="G786" s="240">
        <f>SUM(G787:G789)</f>
        <v>4021.2400000000002</v>
      </c>
      <c r="H786" s="240">
        <v>4034.8000000000006</v>
      </c>
      <c r="I786" s="240">
        <v>3970.3300000000004</v>
      </c>
      <c r="J786" s="240">
        <v>4021.2400000000002</v>
      </c>
      <c r="K786" s="178" t="s">
        <v>151</v>
      </c>
      <c r="L786" s="239" t="s">
        <v>442</v>
      </c>
      <c r="M786" s="239" t="s">
        <v>90</v>
      </c>
      <c r="N786" s="240">
        <v>4034.8000000000006</v>
      </c>
      <c r="O786" s="240">
        <v>3970.3300000000004</v>
      </c>
      <c r="P786" s="240">
        <v>4021.2400000000002</v>
      </c>
      <c r="Q786" s="101" t="b">
        <f t="shared" si="204"/>
        <v>1</v>
      </c>
      <c r="R786" s="101" t="b">
        <f t="shared" si="205"/>
        <v>1</v>
      </c>
      <c r="S786" s="101" t="b">
        <f t="shared" si="206"/>
        <v>1</v>
      </c>
      <c r="T786" s="167">
        <f t="shared" si="207"/>
        <v>0</v>
      </c>
      <c r="U786" s="167">
        <f t="shared" si="208"/>
        <v>0</v>
      </c>
      <c r="V786" s="167">
        <f t="shared" si="209"/>
        <v>0</v>
      </c>
    </row>
    <row r="787" spans="1:22" s="97" customFormat="1" ht="20.100000000000001" customHeight="1">
      <c r="A787" s="222"/>
      <c r="B787" s="180" t="s">
        <v>144</v>
      </c>
      <c r="C787" s="239" t="s">
        <v>442</v>
      </c>
      <c r="D787" s="239" t="s">
        <v>152</v>
      </c>
      <c r="E787" s="240">
        <f>'Вед-я стр-ра'!H976</f>
        <v>637.1</v>
      </c>
      <c r="F787" s="240">
        <f>'Вед-я стр-ра'!I976</f>
        <v>637.1</v>
      </c>
      <c r="G787" s="240">
        <f>'Вед-я стр-ра'!J976</f>
        <v>637.1</v>
      </c>
      <c r="H787" s="240">
        <v>637.1</v>
      </c>
      <c r="I787" s="240">
        <v>637.1</v>
      </c>
      <c r="J787" s="240">
        <v>637.1</v>
      </c>
      <c r="K787" s="180" t="s">
        <v>144</v>
      </c>
      <c r="L787" s="239" t="s">
        <v>442</v>
      </c>
      <c r="M787" s="239" t="s">
        <v>152</v>
      </c>
      <c r="N787" s="240">
        <v>637.1</v>
      </c>
      <c r="O787" s="240">
        <v>637.1</v>
      </c>
      <c r="P787" s="240">
        <v>637.1</v>
      </c>
      <c r="Q787" s="101" t="b">
        <f t="shared" si="204"/>
        <v>1</v>
      </c>
      <c r="R787" s="101" t="b">
        <f t="shared" si="205"/>
        <v>1</v>
      </c>
      <c r="S787" s="101" t="b">
        <f t="shared" si="206"/>
        <v>1</v>
      </c>
      <c r="T787" s="167">
        <f t="shared" si="207"/>
        <v>0</v>
      </c>
      <c r="U787" s="167">
        <f t="shared" si="208"/>
        <v>0</v>
      </c>
      <c r="V787" s="167">
        <f t="shared" si="209"/>
        <v>0</v>
      </c>
    </row>
    <row r="788" spans="1:22" s="97" customFormat="1" ht="20.100000000000001" customHeight="1">
      <c r="A788" s="222"/>
      <c r="B788" s="178" t="s">
        <v>145</v>
      </c>
      <c r="C788" s="239" t="s">
        <v>442</v>
      </c>
      <c r="D788" s="239" t="s">
        <v>153</v>
      </c>
      <c r="E788" s="240">
        <f>'Вед-я стр-ра'!H977</f>
        <v>3356.3800000000006</v>
      </c>
      <c r="F788" s="240">
        <f>'Вед-я стр-ра'!I977</f>
        <v>3291.9100000000003</v>
      </c>
      <c r="G788" s="240">
        <f>'Вед-я стр-ра'!J977</f>
        <v>3342.82</v>
      </c>
      <c r="H788" s="240">
        <v>3356.3800000000006</v>
      </c>
      <c r="I788" s="240">
        <v>3291.9100000000003</v>
      </c>
      <c r="J788" s="240">
        <v>3342.82</v>
      </c>
      <c r="K788" s="178" t="s">
        <v>145</v>
      </c>
      <c r="L788" s="239" t="s">
        <v>442</v>
      </c>
      <c r="M788" s="239" t="s">
        <v>153</v>
      </c>
      <c r="N788" s="240">
        <v>3356.3800000000006</v>
      </c>
      <c r="O788" s="240">
        <v>3291.9100000000003</v>
      </c>
      <c r="P788" s="240">
        <v>3342.82</v>
      </c>
      <c r="Q788" s="101" t="b">
        <f t="shared" si="204"/>
        <v>1</v>
      </c>
      <c r="R788" s="101" t="b">
        <f t="shared" si="205"/>
        <v>1</v>
      </c>
      <c r="S788" s="101" t="b">
        <f t="shared" si="206"/>
        <v>1</v>
      </c>
      <c r="T788" s="167">
        <f t="shared" si="207"/>
        <v>0</v>
      </c>
      <c r="U788" s="167">
        <f t="shared" si="208"/>
        <v>0</v>
      </c>
      <c r="V788" s="167">
        <f t="shared" si="209"/>
        <v>0</v>
      </c>
    </row>
    <row r="789" spans="1:22" s="97" customFormat="1" ht="20.100000000000001" customHeight="1">
      <c r="A789" s="222"/>
      <c r="B789" s="180" t="s">
        <v>137</v>
      </c>
      <c r="C789" s="239" t="s">
        <v>442</v>
      </c>
      <c r="D789" s="239" t="s">
        <v>155</v>
      </c>
      <c r="E789" s="240">
        <f>'Вед-я стр-ра'!H978</f>
        <v>41.32</v>
      </c>
      <c r="F789" s="240">
        <f>'Вед-я стр-ра'!I978</f>
        <v>41.32</v>
      </c>
      <c r="G789" s="240">
        <f>'Вед-я стр-ра'!J978</f>
        <v>41.32</v>
      </c>
      <c r="H789" s="240">
        <v>41.32</v>
      </c>
      <c r="I789" s="240">
        <v>41.32</v>
      </c>
      <c r="J789" s="240">
        <v>41.32</v>
      </c>
      <c r="K789" s="180" t="s">
        <v>137</v>
      </c>
      <c r="L789" s="239" t="s">
        <v>442</v>
      </c>
      <c r="M789" s="239" t="s">
        <v>155</v>
      </c>
      <c r="N789" s="240">
        <v>41.32</v>
      </c>
      <c r="O789" s="240">
        <v>41.32</v>
      </c>
      <c r="P789" s="240">
        <v>41.32</v>
      </c>
      <c r="Q789" s="101" t="b">
        <f t="shared" si="204"/>
        <v>1</v>
      </c>
      <c r="R789" s="101" t="b">
        <f t="shared" si="205"/>
        <v>1</v>
      </c>
      <c r="S789" s="101" t="b">
        <f t="shared" si="206"/>
        <v>1</v>
      </c>
      <c r="T789" s="167">
        <f t="shared" si="207"/>
        <v>0</v>
      </c>
      <c r="U789" s="167">
        <f t="shared" si="208"/>
        <v>0</v>
      </c>
      <c r="V789" s="167">
        <f t="shared" si="209"/>
        <v>0</v>
      </c>
    </row>
    <row r="790" spans="1:22" s="97" customFormat="1" ht="20.100000000000001" customHeight="1">
      <c r="A790" s="222"/>
      <c r="B790" s="178" t="s">
        <v>161</v>
      </c>
      <c r="C790" s="239" t="s">
        <v>444</v>
      </c>
      <c r="D790" s="239" t="s">
        <v>90</v>
      </c>
      <c r="E790" s="240">
        <f>E791</f>
        <v>37871.19</v>
      </c>
      <c r="F790" s="240">
        <f>F791</f>
        <v>37871.19</v>
      </c>
      <c r="G790" s="240">
        <f>G791</f>
        <v>37871.19</v>
      </c>
      <c r="H790" s="240">
        <v>37871.19</v>
      </c>
      <c r="I790" s="240">
        <v>37871.19</v>
      </c>
      <c r="J790" s="240">
        <v>37871.19</v>
      </c>
      <c r="K790" s="178" t="s">
        <v>161</v>
      </c>
      <c r="L790" s="239" t="s">
        <v>444</v>
      </c>
      <c r="M790" s="239" t="s">
        <v>90</v>
      </c>
      <c r="N790" s="240">
        <v>37871.19</v>
      </c>
      <c r="O790" s="240">
        <v>37871.19</v>
      </c>
      <c r="P790" s="240">
        <v>37871.19</v>
      </c>
      <c r="Q790" s="101" t="b">
        <f t="shared" si="204"/>
        <v>1</v>
      </c>
      <c r="R790" s="101" t="b">
        <f t="shared" si="205"/>
        <v>1</v>
      </c>
      <c r="S790" s="101" t="b">
        <f t="shared" si="206"/>
        <v>1</v>
      </c>
      <c r="T790" s="167">
        <f t="shared" si="207"/>
        <v>0</v>
      </c>
      <c r="U790" s="167">
        <f t="shared" si="208"/>
        <v>0</v>
      </c>
      <c r="V790" s="167">
        <f t="shared" si="209"/>
        <v>0</v>
      </c>
    </row>
    <row r="791" spans="1:22" s="97" customFormat="1" ht="20.100000000000001" customHeight="1">
      <c r="A791" s="222"/>
      <c r="B791" s="180" t="s">
        <v>144</v>
      </c>
      <c r="C791" s="239" t="s">
        <v>444</v>
      </c>
      <c r="D791" s="239" t="s">
        <v>152</v>
      </c>
      <c r="E791" s="240">
        <f>'Вед-я стр-ра'!H980</f>
        <v>37871.19</v>
      </c>
      <c r="F791" s="240">
        <f>'Вед-я стр-ра'!I980</f>
        <v>37871.19</v>
      </c>
      <c r="G791" s="240">
        <f>'Вед-я стр-ра'!J980</f>
        <v>37871.19</v>
      </c>
      <c r="H791" s="240">
        <v>37871.19</v>
      </c>
      <c r="I791" s="240">
        <v>37871.19</v>
      </c>
      <c r="J791" s="240">
        <v>37871.19</v>
      </c>
      <c r="K791" s="180" t="s">
        <v>144</v>
      </c>
      <c r="L791" s="239" t="s">
        <v>444</v>
      </c>
      <c r="M791" s="239" t="s">
        <v>152</v>
      </c>
      <c r="N791" s="240">
        <v>37871.19</v>
      </c>
      <c r="O791" s="240">
        <v>37871.19</v>
      </c>
      <c r="P791" s="240">
        <v>37871.19</v>
      </c>
      <c r="Q791" s="101" t="b">
        <f t="shared" si="204"/>
        <v>1</v>
      </c>
      <c r="R791" s="101" t="b">
        <f t="shared" si="205"/>
        <v>1</v>
      </c>
      <c r="S791" s="101" t="b">
        <f t="shared" si="206"/>
        <v>1</v>
      </c>
      <c r="T791" s="167">
        <f t="shared" si="207"/>
        <v>0</v>
      </c>
      <c r="U791" s="167">
        <f t="shared" si="208"/>
        <v>0</v>
      </c>
      <c r="V791" s="167">
        <f t="shared" si="209"/>
        <v>0</v>
      </c>
    </row>
    <row r="792" spans="1:22" s="97" customFormat="1" ht="20.100000000000001" customHeight="1">
      <c r="A792" s="222" t="s">
        <v>799</v>
      </c>
      <c r="B792" s="182" t="s">
        <v>848</v>
      </c>
      <c r="C792" s="239" t="s">
        <v>445</v>
      </c>
      <c r="D792" s="239" t="s">
        <v>90</v>
      </c>
      <c r="E792" s="240">
        <f>E793+E794</f>
        <v>1910.67</v>
      </c>
      <c r="F792" s="240">
        <f>F793+F794</f>
        <v>1910.67</v>
      </c>
      <c r="G792" s="240">
        <f>G793+G794</f>
        <v>1910.67</v>
      </c>
      <c r="H792" s="240">
        <v>1910.67</v>
      </c>
      <c r="I792" s="240">
        <v>1910.67</v>
      </c>
      <c r="J792" s="240">
        <v>1910.67</v>
      </c>
      <c r="K792" s="182" t="s">
        <v>848</v>
      </c>
      <c r="L792" s="239" t="s">
        <v>445</v>
      </c>
      <c r="M792" s="239" t="s">
        <v>90</v>
      </c>
      <c r="N792" s="240">
        <v>1910.67</v>
      </c>
      <c r="O792" s="240">
        <v>1910.67</v>
      </c>
      <c r="P792" s="240">
        <v>1910.67</v>
      </c>
      <c r="Q792" s="101" t="b">
        <f t="shared" si="204"/>
        <v>1</v>
      </c>
      <c r="R792" s="101" t="b">
        <f t="shared" si="205"/>
        <v>1</v>
      </c>
      <c r="S792" s="101" t="b">
        <f t="shared" si="206"/>
        <v>1</v>
      </c>
      <c r="T792" s="167">
        <f t="shared" si="207"/>
        <v>0</v>
      </c>
      <c r="U792" s="167">
        <f t="shared" si="208"/>
        <v>0</v>
      </c>
      <c r="V792" s="167">
        <f t="shared" si="209"/>
        <v>0</v>
      </c>
    </row>
    <row r="793" spans="1:22" s="97" customFormat="1" ht="20.100000000000001" customHeight="1">
      <c r="A793" s="222"/>
      <c r="B793" s="180" t="s">
        <v>144</v>
      </c>
      <c r="C793" s="239" t="s">
        <v>445</v>
      </c>
      <c r="D793" s="239" t="s">
        <v>152</v>
      </c>
      <c r="E793" s="240">
        <f>'Вед-я стр-ра'!H982</f>
        <v>1807.91</v>
      </c>
      <c r="F793" s="240">
        <f>'Вед-я стр-ра'!I982</f>
        <v>1807.91</v>
      </c>
      <c r="G793" s="240">
        <f>'Вед-я стр-ра'!J982</f>
        <v>1807.91</v>
      </c>
      <c r="H793" s="240">
        <v>1807.91</v>
      </c>
      <c r="I793" s="240">
        <v>1807.91</v>
      </c>
      <c r="J793" s="240">
        <v>1807.91</v>
      </c>
      <c r="K793" s="180" t="s">
        <v>144</v>
      </c>
      <c r="L793" s="239" t="s">
        <v>445</v>
      </c>
      <c r="M793" s="239" t="s">
        <v>152</v>
      </c>
      <c r="N793" s="240">
        <v>1807.91</v>
      </c>
      <c r="O793" s="240">
        <v>1807.91</v>
      </c>
      <c r="P793" s="240">
        <v>1807.91</v>
      </c>
      <c r="Q793" s="101" t="b">
        <f t="shared" si="204"/>
        <v>1</v>
      </c>
      <c r="R793" s="101" t="b">
        <f t="shared" si="205"/>
        <v>1</v>
      </c>
      <c r="S793" s="101" t="b">
        <f t="shared" si="206"/>
        <v>1</v>
      </c>
      <c r="T793" s="167">
        <f t="shared" si="207"/>
        <v>0</v>
      </c>
      <c r="U793" s="167">
        <f t="shared" si="208"/>
        <v>0</v>
      </c>
      <c r="V793" s="167">
        <f t="shared" si="209"/>
        <v>0</v>
      </c>
    </row>
    <row r="794" spans="1:22" s="97" customFormat="1" ht="20.100000000000001" customHeight="1">
      <c r="A794" s="222"/>
      <c r="B794" s="178" t="s">
        <v>145</v>
      </c>
      <c r="C794" s="239" t="s">
        <v>445</v>
      </c>
      <c r="D794" s="239" t="s">
        <v>153</v>
      </c>
      <c r="E794" s="240">
        <f>'Вед-я стр-ра'!H983</f>
        <v>102.76</v>
      </c>
      <c r="F794" s="240">
        <f>'Вед-я стр-ра'!I983</f>
        <v>102.76</v>
      </c>
      <c r="G794" s="240">
        <f>'Вед-я стр-ра'!J983</f>
        <v>102.76</v>
      </c>
      <c r="H794" s="240">
        <v>102.76</v>
      </c>
      <c r="I794" s="240">
        <v>102.76</v>
      </c>
      <c r="J794" s="240">
        <v>102.76</v>
      </c>
      <c r="K794" s="178" t="s">
        <v>145</v>
      </c>
      <c r="L794" s="239" t="s">
        <v>445</v>
      </c>
      <c r="M794" s="239" t="s">
        <v>153</v>
      </c>
      <c r="N794" s="240">
        <v>102.76</v>
      </c>
      <c r="O794" s="240">
        <v>102.76</v>
      </c>
      <c r="P794" s="240">
        <v>102.76</v>
      </c>
      <c r="Q794" s="101" t="b">
        <f t="shared" si="204"/>
        <v>1</v>
      </c>
      <c r="R794" s="101" t="b">
        <f t="shared" si="205"/>
        <v>1</v>
      </c>
      <c r="S794" s="101" t="b">
        <f t="shared" si="206"/>
        <v>1</v>
      </c>
      <c r="T794" s="167">
        <f t="shared" si="207"/>
        <v>0</v>
      </c>
      <c r="U794" s="167">
        <f t="shared" si="208"/>
        <v>0</v>
      </c>
      <c r="V794" s="167">
        <f t="shared" si="209"/>
        <v>0</v>
      </c>
    </row>
    <row r="795" spans="1:22" s="97" customFormat="1" ht="20.100000000000001" customHeight="1">
      <c r="A795" s="222" t="s">
        <v>799</v>
      </c>
      <c r="B795" s="54" t="s">
        <v>849</v>
      </c>
      <c r="C795" s="239" t="s">
        <v>446</v>
      </c>
      <c r="D795" s="239" t="s">
        <v>90</v>
      </c>
      <c r="E795" s="240">
        <f>E796</f>
        <v>1335.71</v>
      </c>
      <c r="F795" s="240">
        <f>F796</f>
        <v>1335.71</v>
      </c>
      <c r="G795" s="240">
        <f>G796</f>
        <v>1335.71</v>
      </c>
      <c r="H795" s="240">
        <v>1335.89</v>
      </c>
      <c r="I795" s="240">
        <v>1335.89</v>
      </c>
      <c r="J795" s="240">
        <v>1335.89</v>
      </c>
      <c r="K795" s="54" t="s">
        <v>849</v>
      </c>
      <c r="L795" s="239" t="s">
        <v>446</v>
      </c>
      <c r="M795" s="239" t="s">
        <v>90</v>
      </c>
      <c r="N795" s="240">
        <v>1335.89</v>
      </c>
      <c r="O795" s="240">
        <v>1335.89</v>
      </c>
      <c r="P795" s="240">
        <v>1335.89</v>
      </c>
      <c r="Q795" s="101" t="b">
        <f t="shared" si="204"/>
        <v>1</v>
      </c>
      <c r="R795" s="101" t="b">
        <f t="shared" si="205"/>
        <v>1</v>
      </c>
      <c r="S795" s="101" t="b">
        <f t="shared" si="206"/>
        <v>1</v>
      </c>
      <c r="T795" s="167">
        <f t="shared" si="207"/>
        <v>-0.18000000000006366</v>
      </c>
      <c r="U795" s="167">
        <f t="shared" si="208"/>
        <v>-0.18000000000006366</v>
      </c>
      <c r="V795" s="167">
        <f t="shared" si="209"/>
        <v>-0.18000000000006366</v>
      </c>
    </row>
    <row r="796" spans="1:22" s="97" customFormat="1" ht="20.100000000000001" customHeight="1">
      <c r="A796" s="222"/>
      <c r="B796" s="178" t="s">
        <v>145</v>
      </c>
      <c r="C796" s="239" t="s">
        <v>446</v>
      </c>
      <c r="D796" s="239" t="s">
        <v>153</v>
      </c>
      <c r="E796" s="240">
        <f>'Вед-я стр-ра'!H985</f>
        <v>1335.71</v>
      </c>
      <c r="F796" s="240">
        <f>'Вед-я стр-ра'!I985</f>
        <v>1335.71</v>
      </c>
      <c r="G796" s="240">
        <f>'Вед-я стр-ра'!J985</f>
        <v>1335.71</v>
      </c>
      <c r="H796" s="240">
        <v>1335.89</v>
      </c>
      <c r="I796" s="240">
        <v>1335.89</v>
      </c>
      <c r="J796" s="240">
        <v>1335.89</v>
      </c>
      <c r="K796" s="178" t="s">
        <v>145</v>
      </c>
      <c r="L796" s="239" t="s">
        <v>446</v>
      </c>
      <c r="M796" s="239" t="s">
        <v>153</v>
      </c>
      <c r="N796" s="240">
        <v>1335.89</v>
      </c>
      <c r="O796" s="240">
        <v>1335.89</v>
      </c>
      <c r="P796" s="240">
        <v>1335.89</v>
      </c>
      <c r="Q796" s="101" t="b">
        <f t="shared" si="204"/>
        <v>1</v>
      </c>
      <c r="R796" s="101" t="b">
        <f t="shared" si="205"/>
        <v>1</v>
      </c>
      <c r="S796" s="101" t="b">
        <f t="shared" si="206"/>
        <v>1</v>
      </c>
      <c r="T796" s="167">
        <f t="shared" si="207"/>
        <v>-0.18000000000006366</v>
      </c>
      <c r="U796" s="167">
        <f t="shared" si="208"/>
        <v>-0.18000000000006366</v>
      </c>
      <c r="V796" s="167">
        <f t="shared" si="209"/>
        <v>-0.18000000000006366</v>
      </c>
    </row>
    <row r="797" spans="1:22" s="97" customFormat="1" ht="20.100000000000001" customHeight="1">
      <c r="A797" s="222"/>
      <c r="B797" s="255"/>
      <c r="C797" s="239"/>
      <c r="D797" s="239"/>
      <c r="E797" s="240"/>
      <c r="F797" s="240"/>
      <c r="G797" s="240"/>
      <c r="H797" s="240"/>
      <c r="I797" s="240"/>
      <c r="J797" s="240"/>
      <c r="K797" s="255"/>
      <c r="L797" s="239"/>
      <c r="M797" s="239"/>
      <c r="N797" s="240"/>
      <c r="O797" s="240"/>
      <c r="P797" s="240"/>
      <c r="Q797" s="101" t="b">
        <f t="shared" si="204"/>
        <v>1</v>
      </c>
      <c r="R797" s="101" t="b">
        <f t="shared" si="205"/>
        <v>1</v>
      </c>
      <c r="S797" s="101" t="b">
        <f t="shared" si="206"/>
        <v>1</v>
      </c>
      <c r="T797" s="167">
        <f t="shared" si="207"/>
        <v>0</v>
      </c>
      <c r="U797" s="167">
        <f t="shared" si="208"/>
        <v>0</v>
      </c>
      <c r="V797" s="167">
        <f t="shared" si="209"/>
        <v>0</v>
      </c>
    </row>
    <row r="798" spans="1:22" s="101" customFormat="1" ht="20.100000000000001" customHeight="1">
      <c r="A798" s="345"/>
      <c r="B798" s="232" t="s">
        <v>181</v>
      </c>
      <c r="C798" s="233" t="s">
        <v>485</v>
      </c>
      <c r="D798" s="233" t="s">
        <v>90</v>
      </c>
      <c r="E798" s="234">
        <f>E799</f>
        <v>63604.279999999992</v>
      </c>
      <c r="F798" s="234">
        <f>F799</f>
        <v>63655.959999999992</v>
      </c>
      <c r="G798" s="234">
        <f>G799</f>
        <v>63709.709999999992</v>
      </c>
      <c r="H798" s="234">
        <v>63604.479999999996</v>
      </c>
      <c r="I798" s="234">
        <v>63656.159999999996</v>
      </c>
      <c r="J798" s="234">
        <v>63709.909999999996</v>
      </c>
      <c r="K798" s="232" t="s">
        <v>181</v>
      </c>
      <c r="L798" s="233" t="s">
        <v>485</v>
      </c>
      <c r="M798" s="233" t="s">
        <v>90</v>
      </c>
      <c r="N798" s="234">
        <v>63604.479999999996</v>
      </c>
      <c r="O798" s="234">
        <v>63656.159999999996</v>
      </c>
      <c r="P798" s="234">
        <v>63709.909999999996</v>
      </c>
      <c r="Q798" s="101" t="b">
        <f t="shared" si="204"/>
        <v>1</v>
      </c>
      <c r="R798" s="101" t="b">
        <f t="shared" si="205"/>
        <v>1</v>
      </c>
      <c r="S798" s="101" t="b">
        <f t="shared" si="206"/>
        <v>1</v>
      </c>
      <c r="T798" s="167">
        <f t="shared" si="207"/>
        <v>-0.20000000000436557</v>
      </c>
      <c r="U798" s="167">
        <f t="shared" si="208"/>
        <v>-0.20000000000436557</v>
      </c>
      <c r="V798" s="167">
        <f t="shared" si="209"/>
        <v>-0.20000000000436557</v>
      </c>
    </row>
    <row r="799" spans="1:22" s="102" customFormat="1" ht="20.100000000000001" customHeight="1">
      <c r="A799" s="346"/>
      <c r="B799" s="241" t="s">
        <v>182</v>
      </c>
      <c r="C799" s="236" t="s">
        <v>486</v>
      </c>
      <c r="D799" s="236" t="s">
        <v>90</v>
      </c>
      <c r="E799" s="237">
        <f>E800+E804+E806+E809</f>
        <v>63604.279999999992</v>
      </c>
      <c r="F799" s="237">
        <f t="shared" ref="F799:G799" si="212">F800+F804+F806+F809</f>
        <v>63655.959999999992</v>
      </c>
      <c r="G799" s="237">
        <f t="shared" si="212"/>
        <v>63709.709999999992</v>
      </c>
      <c r="H799" s="237">
        <v>63604.479999999996</v>
      </c>
      <c r="I799" s="237">
        <v>63656.159999999996</v>
      </c>
      <c r="J799" s="237">
        <v>63709.909999999996</v>
      </c>
      <c r="K799" s="241" t="s">
        <v>182</v>
      </c>
      <c r="L799" s="236" t="s">
        <v>486</v>
      </c>
      <c r="M799" s="236" t="s">
        <v>90</v>
      </c>
      <c r="N799" s="237">
        <v>63604.479999999996</v>
      </c>
      <c r="O799" s="237">
        <v>63656.159999999996</v>
      </c>
      <c r="P799" s="237">
        <v>63709.909999999996</v>
      </c>
      <c r="Q799" s="101" t="b">
        <f t="shared" si="204"/>
        <v>1</v>
      </c>
      <c r="R799" s="101" t="b">
        <f t="shared" si="205"/>
        <v>1</v>
      </c>
      <c r="S799" s="101" t="b">
        <f t="shared" si="206"/>
        <v>1</v>
      </c>
      <c r="T799" s="167">
        <f t="shared" si="207"/>
        <v>-0.20000000000436557</v>
      </c>
      <c r="U799" s="167">
        <f t="shared" si="208"/>
        <v>-0.20000000000436557</v>
      </c>
      <c r="V799" s="167">
        <f t="shared" si="209"/>
        <v>-0.20000000000436557</v>
      </c>
    </row>
    <row r="800" spans="1:22" s="97" customFormat="1" ht="20.100000000000001" customHeight="1">
      <c r="A800" s="222"/>
      <c r="B800" s="178" t="s">
        <v>151</v>
      </c>
      <c r="C800" s="239" t="s">
        <v>487</v>
      </c>
      <c r="D800" s="239" t="s">
        <v>90</v>
      </c>
      <c r="E800" s="240">
        <f>E801+E802+E803</f>
        <v>5221.49</v>
      </c>
      <c r="F800" s="240">
        <f>F801+F802+F803</f>
        <v>5273.17</v>
      </c>
      <c r="G800" s="240">
        <f>G801+G802+G803</f>
        <v>5326.92</v>
      </c>
      <c r="H800" s="240">
        <v>5221.49</v>
      </c>
      <c r="I800" s="240">
        <v>5273.17</v>
      </c>
      <c r="J800" s="240">
        <v>5326.92</v>
      </c>
      <c r="K800" s="178" t="s">
        <v>151</v>
      </c>
      <c r="L800" s="239" t="s">
        <v>487</v>
      </c>
      <c r="M800" s="239" t="s">
        <v>90</v>
      </c>
      <c r="N800" s="240">
        <v>5221.49</v>
      </c>
      <c r="O800" s="240">
        <v>5273.17</v>
      </c>
      <c r="P800" s="240">
        <v>5326.92</v>
      </c>
      <c r="Q800" s="101" t="b">
        <f t="shared" si="204"/>
        <v>1</v>
      </c>
      <c r="R800" s="101" t="b">
        <f t="shared" si="205"/>
        <v>1</v>
      </c>
      <c r="S800" s="101" t="b">
        <f t="shared" si="206"/>
        <v>1</v>
      </c>
      <c r="T800" s="167">
        <f t="shared" si="207"/>
        <v>0</v>
      </c>
      <c r="U800" s="167">
        <f t="shared" si="208"/>
        <v>0</v>
      </c>
      <c r="V800" s="167">
        <f t="shared" si="209"/>
        <v>0</v>
      </c>
    </row>
    <row r="801" spans="1:22" s="97" customFormat="1" ht="20.100000000000001" customHeight="1">
      <c r="A801" s="222"/>
      <c r="B801" s="180" t="s">
        <v>144</v>
      </c>
      <c r="C801" s="239" t="s">
        <v>487</v>
      </c>
      <c r="D801" s="239" t="s">
        <v>152</v>
      </c>
      <c r="E801" s="240">
        <f>'Вед-я стр-ра'!H1038</f>
        <v>853.17</v>
      </c>
      <c r="F801" s="240">
        <f>'Вед-я стр-ра'!I1038</f>
        <v>853.17</v>
      </c>
      <c r="G801" s="240">
        <f>'Вед-я стр-ра'!J1038</f>
        <v>853.17</v>
      </c>
      <c r="H801" s="240">
        <v>853.17</v>
      </c>
      <c r="I801" s="240">
        <v>853.17</v>
      </c>
      <c r="J801" s="240">
        <v>853.17</v>
      </c>
      <c r="K801" s="180" t="s">
        <v>144</v>
      </c>
      <c r="L801" s="239" t="s">
        <v>487</v>
      </c>
      <c r="M801" s="239" t="s">
        <v>152</v>
      </c>
      <c r="N801" s="240">
        <v>853.17</v>
      </c>
      <c r="O801" s="240">
        <v>853.17</v>
      </c>
      <c r="P801" s="240">
        <v>853.17</v>
      </c>
      <c r="Q801" s="101" t="b">
        <f t="shared" si="204"/>
        <v>1</v>
      </c>
      <c r="R801" s="101" t="b">
        <f t="shared" si="205"/>
        <v>1</v>
      </c>
      <c r="S801" s="101" t="b">
        <f t="shared" si="206"/>
        <v>1</v>
      </c>
      <c r="T801" s="167">
        <f t="shared" si="207"/>
        <v>0</v>
      </c>
      <c r="U801" s="167">
        <f t="shared" si="208"/>
        <v>0</v>
      </c>
      <c r="V801" s="167">
        <f t="shared" si="209"/>
        <v>0</v>
      </c>
    </row>
    <row r="802" spans="1:22" s="97" customFormat="1" ht="20.100000000000001" customHeight="1">
      <c r="A802" s="222"/>
      <c r="B802" s="178" t="s">
        <v>145</v>
      </c>
      <c r="C802" s="239" t="s">
        <v>487</v>
      </c>
      <c r="D802" s="239" t="s">
        <v>153</v>
      </c>
      <c r="E802" s="240">
        <f>'Вед-я стр-ра'!H1039</f>
        <v>4093.09</v>
      </c>
      <c r="F802" s="240">
        <f>'Вед-я стр-ра'!I1039</f>
        <v>4144.7700000000004</v>
      </c>
      <c r="G802" s="240">
        <f>'Вед-я стр-ра'!J1039</f>
        <v>4198.5200000000004</v>
      </c>
      <c r="H802" s="240">
        <v>4093.09</v>
      </c>
      <c r="I802" s="240">
        <v>4144.7700000000004</v>
      </c>
      <c r="J802" s="240">
        <v>4198.5200000000004</v>
      </c>
      <c r="K802" s="178" t="s">
        <v>145</v>
      </c>
      <c r="L802" s="239" t="s">
        <v>487</v>
      </c>
      <c r="M802" s="239" t="s">
        <v>153</v>
      </c>
      <c r="N802" s="240">
        <v>4093.09</v>
      </c>
      <c r="O802" s="240">
        <v>4144.7700000000004</v>
      </c>
      <c r="P802" s="240">
        <v>4198.5200000000004</v>
      </c>
      <c r="Q802" s="101" t="b">
        <f t="shared" si="204"/>
        <v>1</v>
      </c>
      <c r="R802" s="101" t="b">
        <f t="shared" si="205"/>
        <v>1</v>
      </c>
      <c r="S802" s="101" t="b">
        <f t="shared" si="206"/>
        <v>1</v>
      </c>
      <c r="T802" s="167">
        <f t="shared" si="207"/>
        <v>0</v>
      </c>
      <c r="U802" s="167">
        <f t="shared" si="208"/>
        <v>0</v>
      </c>
      <c r="V802" s="167">
        <f t="shared" si="209"/>
        <v>0</v>
      </c>
    </row>
    <row r="803" spans="1:22" s="97" customFormat="1" ht="20.100000000000001" customHeight="1">
      <c r="A803" s="222"/>
      <c r="B803" s="180" t="s">
        <v>137</v>
      </c>
      <c r="C803" s="239" t="s">
        <v>487</v>
      </c>
      <c r="D803" s="239" t="s">
        <v>155</v>
      </c>
      <c r="E803" s="240">
        <f>'Вед-я стр-ра'!H1040</f>
        <v>275.23</v>
      </c>
      <c r="F803" s="240">
        <f>'Вед-я стр-ра'!I1040</f>
        <v>275.23</v>
      </c>
      <c r="G803" s="240">
        <f>'Вед-я стр-ра'!J1040</f>
        <v>275.23</v>
      </c>
      <c r="H803" s="240">
        <v>275.23</v>
      </c>
      <c r="I803" s="240">
        <v>275.23</v>
      </c>
      <c r="J803" s="240">
        <v>275.23</v>
      </c>
      <c r="K803" s="180" t="s">
        <v>137</v>
      </c>
      <c r="L803" s="239" t="s">
        <v>487</v>
      </c>
      <c r="M803" s="239" t="s">
        <v>155</v>
      </c>
      <c r="N803" s="240">
        <v>275.23</v>
      </c>
      <c r="O803" s="240">
        <v>275.23</v>
      </c>
      <c r="P803" s="240">
        <v>275.23</v>
      </c>
      <c r="Q803" s="101" t="b">
        <f t="shared" si="204"/>
        <v>1</v>
      </c>
      <c r="R803" s="101" t="b">
        <f t="shared" si="205"/>
        <v>1</v>
      </c>
      <c r="S803" s="101" t="b">
        <f t="shared" si="206"/>
        <v>1</v>
      </c>
      <c r="T803" s="167">
        <f t="shared" si="207"/>
        <v>0</v>
      </c>
      <c r="U803" s="167">
        <f t="shared" si="208"/>
        <v>0</v>
      </c>
      <c r="V803" s="167">
        <f t="shared" si="209"/>
        <v>0</v>
      </c>
    </row>
    <row r="804" spans="1:22" s="97" customFormat="1" ht="20.100000000000001" customHeight="1">
      <c r="A804" s="222"/>
      <c r="B804" s="178" t="s">
        <v>161</v>
      </c>
      <c r="C804" s="239" t="s">
        <v>488</v>
      </c>
      <c r="D804" s="239" t="s">
        <v>90</v>
      </c>
      <c r="E804" s="240">
        <f>E805</f>
        <v>53999.74</v>
      </c>
      <c r="F804" s="240">
        <f>F805</f>
        <v>53999.74</v>
      </c>
      <c r="G804" s="240">
        <f>G805</f>
        <v>53999.74</v>
      </c>
      <c r="H804" s="240">
        <v>53999.74</v>
      </c>
      <c r="I804" s="240">
        <v>53999.74</v>
      </c>
      <c r="J804" s="240">
        <v>53999.74</v>
      </c>
      <c r="K804" s="178" t="s">
        <v>161</v>
      </c>
      <c r="L804" s="239" t="s">
        <v>488</v>
      </c>
      <c r="M804" s="239" t="s">
        <v>90</v>
      </c>
      <c r="N804" s="240">
        <v>53999.74</v>
      </c>
      <c r="O804" s="240">
        <v>53999.74</v>
      </c>
      <c r="P804" s="240">
        <v>53999.74</v>
      </c>
      <c r="Q804" s="101" t="b">
        <f t="shared" si="204"/>
        <v>1</v>
      </c>
      <c r="R804" s="101" t="b">
        <f t="shared" si="205"/>
        <v>1</v>
      </c>
      <c r="S804" s="101" t="b">
        <f t="shared" si="206"/>
        <v>1</v>
      </c>
      <c r="T804" s="167">
        <f t="shared" si="207"/>
        <v>0</v>
      </c>
      <c r="U804" s="167">
        <f t="shared" si="208"/>
        <v>0</v>
      </c>
      <c r="V804" s="167">
        <f t="shared" si="209"/>
        <v>0</v>
      </c>
    </row>
    <row r="805" spans="1:22" s="97" customFormat="1" ht="20.100000000000001" customHeight="1">
      <c r="A805" s="222"/>
      <c r="B805" s="180" t="s">
        <v>144</v>
      </c>
      <c r="C805" s="239" t="s">
        <v>488</v>
      </c>
      <c r="D805" s="239" t="s">
        <v>152</v>
      </c>
      <c r="E805" s="240">
        <f>'Вед-я стр-ра'!H1042</f>
        <v>53999.74</v>
      </c>
      <c r="F805" s="240">
        <f>'Вед-я стр-ра'!I1042</f>
        <v>53999.74</v>
      </c>
      <c r="G805" s="240">
        <f>'Вед-я стр-ра'!J1042</f>
        <v>53999.74</v>
      </c>
      <c r="H805" s="240">
        <v>53999.74</v>
      </c>
      <c r="I805" s="240">
        <v>53999.74</v>
      </c>
      <c r="J805" s="240">
        <v>53999.74</v>
      </c>
      <c r="K805" s="180" t="s">
        <v>144</v>
      </c>
      <c r="L805" s="239" t="s">
        <v>488</v>
      </c>
      <c r="M805" s="239" t="s">
        <v>152</v>
      </c>
      <c r="N805" s="240">
        <v>53999.74</v>
      </c>
      <c r="O805" s="240">
        <v>53999.74</v>
      </c>
      <c r="P805" s="240">
        <v>53999.74</v>
      </c>
      <c r="Q805" s="101" t="b">
        <f t="shared" si="204"/>
        <v>1</v>
      </c>
      <c r="R805" s="101" t="b">
        <f t="shared" si="205"/>
        <v>1</v>
      </c>
      <c r="S805" s="101" t="b">
        <f t="shared" si="206"/>
        <v>1</v>
      </c>
      <c r="T805" s="167">
        <f t="shared" si="207"/>
        <v>0</v>
      </c>
      <c r="U805" s="167">
        <f t="shared" si="208"/>
        <v>0</v>
      </c>
      <c r="V805" s="167">
        <f t="shared" si="209"/>
        <v>0</v>
      </c>
    </row>
    <row r="806" spans="1:22" s="97" customFormat="1" ht="20.100000000000001" customHeight="1">
      <c r="A806" s="222" t="s">
        <v>799</v>
      </c>
      <c r="B806" s="182" t="s">
        <v>848</v>
      </c>
      <c r="C806" s="239" t="s">
        <v>489</v>
      </c>
      <c r="D806" s="239" t="s">
        <v>90</v>
      </c>
      <c r="E806" s="240">
        <f>E807+E808</f>
        <v>3047.3500000000004</v>
      </c>
      <c r="F806" s="240">
        <f>F807+F808</f>
        <v>3047.3500000000004</v>
      </c>
      <c r="G806" s="240">
        <f>G807+G808</f>
        <v>3047.3500000000004</v>
      </c>
      <c r="H806" s="240">
        <v>3047.3500000000004</v>
      </c>
      <c r="I806" s="240">
        <v>3047.3500000000004</v>
      </c>
      <c r="J806" s="240">
        <v>3047.3500000000004</v>
      </c>
      <c r="K806" s="182" t="s">
        <v>848</v>
      </c>
      <c r="L806" s="239" t="s">
        <v>489</v>
      </c>
      <c r="M806" s="239" t="s">
        <v>90</v>
      </c>
      <c r="N806" s="240">
        <v>3047.3500000000004</v>
      </c>
      <c r="O806" s="240">
        <v>3047.3500000000004</v>
      </c>
      <c r="P806" s="240">
        <v>3047.3500000000004</v>
      </c>
      <c r="Q806" s="101" t="b">
        <f t="shared" si="204"/>
        <v>1</v>
      </c>
      <c r="R806" s="101" t="b">
        <f t="shared" si="205"/>
        <v>1</v>
      </c>
      <c r="S806" s="101" t="b">
        <f t="shared" si="206"/>
        <v>1</v>
      </c>
      <c r="T806" s="167">
        <f t="shared" si="207"/>
        <v>0</v>
      </c>
      <c r="U806" s="167">
        <f t="shared" si="208"/>
        <v>0</v>
      </c>
      <c r="V806" s="167">
        <f t="shared" si="209"/>
        <v>0</v>
      </c>
    </row>
    <row r="807" spans="1:22" s="97" customFormat="1" ht="20.100000000000001" customHeight="1">
      <c r="A807" s="222"/>
      <c r="B807" s="180" t="s">
        <v>144</v>
      </c>
      <c r="C807" s="239" t="s">
        <v>489</v>
      </c>
      <c r="D807" s="239" t="s">
        <v>152</v>
      </c>
      <c r="E807" s="240">
        <f>'Вед-я стр-ра'!H1044</f>
        <v>2876.09</v>
      </c>
      <c r="F807" s="240">
        <f>'Вед-я стр-ра'!I1044</f>
        <v>2876.09</v>
      </c>
      <c r="G807" s="240">
        <f>'Вед-я стр-ра'!J1044</f>
        <v>2876.09</v>
      </c>
      <c r="H807" s="240">
        <v>2876.09</v>
      </c>
      <c r="I807" s="240">
        <v>2876.09</v>
      </c>
      <c r="J807" s="240">
        <v>2876.09</v>
      </c>
      <c r="K807" s="180" t="s">
        <v>144</v>
      </c>
      <c r="L807" s="239" t="s">
        <v>489</v>
      </c>
      <c r="M807" s="239" t="s">
        <v>152</v>
      </c>
      <c r="N807" s="240">
        <v>2876.09</v>
      </c>
      <c r="O807" s="240">
        <v>2876.09</v>
      </c>
      <c r="P807" s="240">
        <v>2876.09</v>
      </c>
      <c r="Q807" s="101" t="b">
        <f t="shared" si="204"/>
        <v>1</v>
      </c>
      <c r="R807" s="101" t="b">
        <f t="shared" si="205"/>
        <v>1</v>
      </c>
      <c r="S807" s="101" t="b">
        <f t="shared" si="206"/>
        <v>1</v>
      </c>
      <c r="T807" s="167">
        <f t="shared" si="207"/>
        <v>0</v>
      </c>
      <c r="U807" s="167">
        <f t="shared" si="208"/>
        <v>0</v>
      </c>
      <c r="V807" s="167">
        <f t="shared" si="209"/>
        <v>0</v>
      </c>
    </row>
    <row r="808" spans="1:22" s="97" customFormat="1" ht="20.100000000000001" customHeight="1">
      <c r="A808" s="222"/>
      <c r="B808" s="178" t="s">
        <v>145</v>
      </c>
      <c r="C808" s="239" t="s">
        <v>489</v>
      </c>
      <c r="D808" s="239" t="s">
        <v>153</v>
      </c>
      <c r="E808" s="240">
        <f>'Вед-я стр-ра'!H1045</f>
        <v>171.26</v>
      </c>
      <c r="F808" s="240">
        <f>'Вед-я стр-ра'!I1045</f>
        <v>171.26</v>
      </c>
      <c r="G808" s="240">
        <f>'Вед-я стр-ра'!J1045</f>
        <v>171.26</v>
      </c>
      <c r="H808" s="240">
        <v>171.26</v>
      </c>
      <c r="I808" s="240">
        <v>171.26</v>
      </c>
      <c r="J808" s="240">
        <v>171.26</v>
      </c>
      <c r="K808" s="178" t="s">
        <v>145</v>
      </c>
      <c r="L808" s="239" t="s">
        <v>489</v>
      </c>
      <c r="M808" s="239" t="s">
        <v>153</v>
      </c>
      <c r="N808" s="240">
        <v>171.26</v>
      </c>
      <c r="O808" s="240">
        <v>171.26</v>
      </c>
      <c r="P808" s="240">
        <v>171.26</v>
      </c>
      <c r="Q808" s="101" t="b">
        <f t="shared" si="204"/>
        <v>1</v>
      </c>
      <c r="R808" s="101" t="b">
        <f t="shared" si="205"/>
        <v>1</v>
      </c>
      <c r="S808" s="101" t="b">
        <f t="shared" si="206"/>
        <v>1</v>
      </c>
      <c r="T808" s="167">
        <f t="shared" si="207"/>
        <v>0</v>
      </c>
      <c r="U808" s="167">
        <f t="shared" si="208"/>
        <v>0</v>
      </c>
      <c r="V808" s="167">
        <f t="shared" si="209"/>
        <v>0</v>
      </c>
    </row>
    <row r="809" spans="1:22" s="97" customFormat="1" ht="20.100000000000001" customHeight="1">
      <c r="A809" s="222" t="s">
        <v>799</v>
      </c>
      <c r="B809" s="54" t="s">
        <v>849</v>
      </c>
      <c r="C809" s="239" t="s">
        <v>490</v>
      </c>
      <c r="D809" s="239" t="s">
        <v>90</v>
      </c>
      <c r="E809" s="240">
        <f>E810</f>
        <v>1335.7</v>
      </c>
      <c r="F809" s="240">
        <f>F810</f>
        <v>1335.7</v>
      </c>
      <c r="G809" s="240">
        <f>G810</f>
        <v>1335.7</v>
      </c>
      <c r="H809" s="240">
        <v>1335.9</v>
      </c>
      <c r="I809" s="240">
        <v>1335.9</v>
      </c>
      <c r="J809" s="240">
        <v>1335.9</v>
      </c>
      <c r="K809" s="54" t="s">
        <v>849</v>
      </c>
      <c r="L809" s="239" t="s">
        <v>490</v>
      </c>
      <c r="M809" s="239" t="s">
        <v>90</v>
      </c>
      <c r="N809" s="240">
        <v>1335.9</v>
      </c>
      <c r="O809" s="240">
        <v>1335.9</v>
      </c>
      <c r="P809" s="240">
        <v>1335.9</v>
      </c>
      <c r="Q809" s="101" t="b">
        <f t="shared" si="204"/>
        <v>1</v>
      </c>
      <c r="R809" s="101" t="b">
        <f t="shared" si="205"/>
        <v>1</v>
      </c>
      <c r="S809" s="101" t="b">
        <f t="shared" si="206"/>
        <v>1</v>
      </c>
      <c r="T809" s="167">
        <f t="shared" si="207"/>
        <v>-0.20000000000004547</v>
      </c>
      <c r="U809" s="167">
        <f t="shared" si="208"/>
        <v>-0.20000000000004547</v>
      </c>
      <c r="V809" s="167">
        <f t="shared" si="209"/>
        <v>-0.20000000000004547</v>
      </c>
    </row>
    <row r="810" spans="1:22" s="97" customFormat="1" ht="20.100000000000001" customHeight="1">
      <c r="A810" s="222"/>
      <c r="B810" s="178" t="s">
        <v>145</v>
      </c>
      <c r="C810" s="239" t="s">
        <v>490</v>
      </c>
      <c r="D810" s="239" t="s">
        <v>153</v>
      </c>
      <c r="E810" s="240">
        <f>'Вед-я стр-ра'!H1047</f>
        <v>1335.7</v>
      </c>
      <c r="F810" s="240">
        <f>'Вед-я стр-ра'!I1047</f>
        <v>1335.7</v>
      </c>
      <c r="G810" s="240">
        <f>'Вед-я стр-ра'!J1047</f>
        <v>1335.7</v>
      </c>
      <c r="H810" s="240">
        <v>1335.9</v>
      </c>
      <c r="I810" s="240">
        <v>1335.9</v>
      </c>
      <c r="J810" s="240">
        <v>1335.9</v>
      </c>
      <c r="K810" s="178" t="s">
        <v>145</v>
      </c>
      <c r="L810" s="239" t="s">
        <v>490</v>
      </c>
      <c r="M810" s="239" t="s">
        <v>153</v>
      </c>
      <c r="N810" s="240">
        <v>1335.9</v>
      </c>
      <c r="O810" s="240">
        <v>1335.9</v>
      </c>
      <c r="P810" s="240">
        <v>1335.9</v>
      </c>
      <c r="Q810" s="101" t="b">
        <f t="shared" si="204"/>
        <v>1</v>
      </c>
      <c r="R810" s="101" t="b">
        <f t="shared" si="205"/>
        <v>1</v>
      </c>
      <c r="S810" s="101" t="b">
        <f t="shared" si="206"/>
        <v>1</v>
      </c>
      <c r="T810" s="167">
        <f t="shared" si="207"/>
        <v>-0.20000000000004547</v>
      </c>
      <c r="U810" s="167">
        <f t="shared" si="208"/>
        <v>-0.20000000000004547</v>
      </c>
      <c r="V810" s="167">
        <f t="shared" si="209"/>
        <v>-0.20000000000004547</v>
      </c>
    </row>
    <row r="811" spans="1:22" s="97" customFormat="1" ht="20.100000000000001" customHeight="1">
      <c r="A811" s="285"/>
      <c r="B811" s="182"/>
      <c r="C811" s="57"/>
      <c r="D811" s="37"/>
      <c r="E811" s="183"/>
      <c r="F811" s="183"/>
      <c r="G811" s="183"/>
      <c r="H811" s="183"/>
      <c r="I811" s="183"/>
      <c r="J811" s="183"/>
      <c r="K811" s="182"/>
      <c r="L811" s="57"/>
      <c r="M811" s="37"/>
      <c r="N811" s="183"/>
      <c r="O811" s="183"/>
      <c r="P811" s="183"/>
      <c r="Q811" s="101" t="b">
        <f t="shared" si="204"/>
        <v>1</v>
      </c>
      <c r="R811" s="101" t="b">
        <f t="shared" si="205"/>
        <v>1</v>
      </c>
      <c r="S811" s="101" t="b">
        <f t="shared" si="206"/>
        <v>1</v>
      </c>
      <c r="T811" s="167">
        <f t="shared" si="207"/>
        <v>0</v>
      </c>
      <c r="U811" s="167">
        <f t="shared" si="208"/>
        <v>0</v>
      </c>
      <c r="V811" s="167">
        <f t="shared" si="209"/>
        <v>0</v>
      </c>
    </row>
    <row r="812" spans="1:22" s="101" customFormat="1" ht="20.100000000000001" customHeight="1">
      <c r="A812" s="345"/>
      <c r="B812" s="232" t="s">
        <v>173</v>
      </c>
      <c r="C812" s="233" t="s">
        <v>447</v>
      </c>
      <c r="D812" s="233" t="s">
        <v>90</v>
      </c>
      <c r="E812" s="234">
        <f>E813</f>
        <v>65732.61</v>
      </c>
      <c r="F812" s="234">
        <f>F813</f>
        <v>65775.760000000009</v>
      </c>
      <c r="G812" s="234">
        <f>G813</f>
        <v>65820.639999999999</v>
      </c>
      <c r="H812" s="234">
        <v>65732.61</v>
      </c>
      <c r="I812" s="234">
        <v>65775.760000000009</v>
      </c>
      <c r="J812" s="234">
        <v>65820.639999999999</v>
      </c>
      <c r="K812" s="232" t="s">
        <v>173</v>
      </c>
      <c r="L812" s="233" t="s">
        <v>447</v>
      </c>
      <c r="M812" s="233" t="s">
        <v>90</v>
      </c>
      <c r="N812" s="234">
        <v>65732.61</v>
      </c>
      <c r="O812" s="234">
        <v>65775.760000000009</v>
      </c>
      <c r="P812" s="234">
        <v>65820.639999999999</v>
      </c>
      <c r="Q812" s="101" t="b">
        <f t="shared" si="204"/>
        <v>1</v>
      </c>
      <c r="R812" s="101" t="b">
        <f t="shared" si="205"/>
        <v>1</v>
      </c>
      <c r="S812" s="101" t="b">
        <f t="shared" si="206"/>
        <v>1</v>
      </c>
      <c r="T812" s="167">
        <f t="shared" si="207"/>
        <v>0</v>
      </c>
      <c r="U812" s="167">
        <f t="shared" si="208"/>
        <v>0</v>
      </c>
      <c r="V812" s="167">
        <f t="shared" si="209"/>
        <v>0</v>
      </c>
    </row>
    <row r="813" spans="1:22" s="102" customFormat="1" ht="20.100000000000001" customHeight="1">
      <c r="A813" s="346"/>
      <c r="B813" s="241" t="s">
        <v>174</v>
      </c>
      <c r="C813" s="236" t="s">
        <v>448</v>
      </c>
      <c r="D813" s="236" t="s">
        <v>90</v>
      </c>
      <c r="E813" s="237">
        <f>E814+E818+E820</f>
        <v>65732.61</v>
      </c>
      <c r="F813" s="237">
        <f t="shared" ref="F813:G813" si="213">F814+F818+F820</f>
        <v>65775.760000000009</v>
      </c>
      <c r="G813" s="237">
        <f t="shared" si="213"/>
        <v>65820.639999999999</v>
      </c>
      <c r="H813" s="237">
        <v>65732.61</v>
      </c>
      <c r="I813" s="237">
        <v>65775.760000000009</v>
      </c>
      <c r="J813" s="237">
        <v>65820.639999999999</v>
      </c>
      <c r="K813" s="241" t="s">
        <v>174</v>
      </c>
      <c r="L813" s="236" t="s">
        <v>448</v>
      </c>
      <c r="M813" s="236" t="s">
        <v>90</v>
      </c>
      <c r="N813" s="237">
        <v>65732.61</v>
      </c>
      <c r="O813" s="237">
        <v>65775.760000000009</v>
      </c>
      <c r="P813" s="237">
        <v>65820.639999999999</v>
      </c>
      <c r="Q813" s="101" t="b">
        <f t="shared" si="204"/>
        <v>1</v>
      </c>
      <c r="R813" s="101" t="b">
        <f t="shared" si="205"/>
        <v>1</v>
      </c>
      <c r="S813" s="101" t="b">
        <f t="shared" si="206"/>
        <v>1</v>
      </c>
      <c r="T813" s="167">
        <f t="shared" si="207"/>
        <v>0</v>
      </c>
      <c r="U813" s="167">
        <f t="shared" si="208"/>
        <v>0</v>
      </c>
      <c r="V813" s="167">
        <f t="shared" si="209"/>
        <v>0</v>
      </c>
    </row>
    <row r="814" spans="1:22" s="97" customFormat="1" ht="20.100000000000001" customHeight="1">
      <c r="A814" s="222"/>
      <c r="B814" s="178" t="s">
        <v>151</v>
      </c>
      <c r="C814" s="239" t="s">
        <v>460</v>
      </c>
      <c r="D814" s="239" t="s">
        <v>90</v>
      </c>
      <c r="E814" s="240">
        <f>E815+E816+E817</f>
        <v>6691.6</v>
      </c>
      <c r="F814" s="240">
        <f>F815+F816+F817</f>
        <v>6734.75</v>
      </c>
      <c r="G814" s="240">
        <f>G815+G816+G817</f>
        <v>6779.6299999999992</v>
      </c>
      <c r="H814" s="240">
        <v>6691.6</v>
      </c>
      <c r="I814" s="240">
        <v>6734.75</v>
      </c>
      <c r="J814" s="240">
        <v>6779.6299999999992</v>
      </c>
      <c r="K814" s="178" t="s">
        <v>151</v>
      </c>
      <c r="L814" s="239" t="s">
        <v>460</v>
      </c>
      <c r="M814" s="239" t="s">
        <v>90</v>
      </c>
      <c r="N814" s="240">
        <v>6691.6</v>
      </c>
      <c r="O814" s="240">
        <v>6734.75</v>
      </c>
      <c r="P814" s="240">
        <v>6779.6299999999992</v>
      </c>
      <c r="Q814" s="101" t="b">
        <f t="shared" si="204"/>
        <v>1</v>
      </c>
      <c r="R814" s="101" t="b">
        <f t="shared" si="205"/>
        <v>1</v>
      </c>
      <c r="S814" s="101" t="b">
        <f t="shared" si="206"/>
        <v>1</v>
      </c>
      <c r="T814" s="167">
        <f t="shared" si="207"/>
        <v>0</v>
      </c>
      <c r="U814" s="167">
        <f t="shared" si="208"/>
        <v>0</v>
      </c>
      <c r="V814" s="167">
        <f t="shared" si="209"/>
        <v>0</v>
      </c>
    </row>
    <row r="815" spans="1:22" s="97" customFormat="1" ht="20.100000000000001" customHeight="1">
      <c r="A815" s="222"/>
      <c r="B815" s="180" t="s">
        <v>144</v>
      </c>
      <c r="C815" s="239" t="s">
        <v>460</v>
      </c>
      <c r="D815" s="239" t="s">
        <v>152</v>
      </c>
      <c r="E815" s="240">
        <f>'Вед-я стр-ра'!H1222</f>
        <v>1132.9299999999998</v>
      </c>
      <c r="F815" s="240">
        <f>'Вед-я стр-ра'!I1222</f>
        <v>1132.9299999999998</v>
      </c>
      <c r="G815" s="240">
        <f>'Вед-я стр-ра'!J1222</f>
        <v>1132.9299999999998</v>
      </c>
      <c r="H815" s="240">
        <v>1132.9299999999998</v>
      </c>
      <c r="I815" s="240">
        <v>1132.9299999999998</v>
      </c>
      <c r="J815" s="240">
        <v>1132.9299999999998</v>
      </c>
      <c r="K815" s="180" t="s">
        <v>144</v>
      </c>
      <c r="L815" s="239" t="s">
        <v>460</v>
      </c>
      <c r="M815" s="239" t="s">
        <v>152</v>
      </c>
      <c r="N815" s="240">
        <v>1132.9299999999998</v>
      </c>
      <c r="O815" s="240">
        <v>1132.9299999999998</v>
      </c>
      <c r="P815" s="240">
        <v>1132.9299999999998</v>
      </c>
      <c r="Q815" s="101" t="b">
        <f t="shared" si="204"/>
        <v>1</v>
      </c>
      <c r="R815" s="101" t="b">
        <f t="shared" si="205"/>
        <v>1</v>
      </c>
      <c r="S815" s="101" t="b">
        <f t="shared" si="206"/>
        <v>1</v>
      </c>
      <c r="T815" s="167">
        <f t="shared" si="207"/>
        <v>0</v>
      </c>
      <c r="U815" s="167">
        <f t="shared" si="208"/>
        <v>0</v>
      </c>
      <c r="V815" s="167">
        <f t="shared" si="209"/>
        <v>0</v>
      </c>
    </row>
    <row r="816" spans="1:22" s="97" customFormat="1" ht="20.100000000000001" customHeight="1">
      <c r="A816" s="222"/>
      <c r="B816" s="178" t="s">
        <v>145</v>
      </c>
      <c r="C816" s="239" t="s">
        <v>460</v>
      </c>
      <c r="D816" s="239" t="s">
        <v>153</v>
      </c>
      <c r="E816" s="240">
        <f>'Вед-я стр-ра'!H1223</f>
        <v>5449.67</v>
      </c>
      <c r="F816" s="240">
        <f>'Вед-я стр-ра'!I1223</f>
        <v>5492.82</v>
      </c>
      <c r="G816" s="240">
        <f>'Вед-я стр-ра'!J1223</f>
        <v>5537.7</v>
      </c>
      <c r="H816" s="240">
        <v>5449.67</v>
      </c>
      <c r="I816" s="240">
        <v>5492.82</v>
      </c>
      <c r="J816" s="240">
        <v>5537.7</v>
      </c>
      <c r="K816" s="178" t="s">
        <v>145</v>
      </c>
      <c r="L816" s="239" t="s">
        <v>460</v>
      </c>
      <c r="M816" s="239" t="s">
        <v>153</v>
      </c>
      <c r="N816" s="240">
        <v>5449.67</v>
      </c>
      <c r="O816" s="240">
        <v>5492.82</v>
      </c>
      <c r="P816" s="240">
        <v>5537.7</v>
      </c>
      <c r="Q816" s="101" t="b">
        <f t="shared" si="204"/>
        <v>1</v>
      </c>
      <c r="R816" s="101" t="b">
        <f t="shared" si="205"/>
        <v>1</v>
      </c>
      <c r="S816" s="101" t="b">
        <f t="shared" si="206"/>
        <v>1</v>
      </c>
      <c r="T816" s="167">
        <f t="shared" si="207"/>
        <v>0</v>
      </c>
      <c r="U816" s="167">
        <f t="shared" si="208"/>
        <v>0</v>
      </c>
      <c r="V816" s="167">
        <f t="shared" si="209"/>
        <v>0</v>
      </c>
    </row>
    <row r="817" spans="1:22" s="97" customFormat="1" ht="20.100000000000001" customHeight="1">
      <c r="A817" s="222"/>
      <c r="B817" s="180" t="s">
        <v>137</v>
      </c>
      <c r="C817" s="239" t="s">
        <v>460</v>
      </c>
      <c r="D817" s="239" t="s">
        <v>155</v>
      </c>
      <c r="E817" s="240">
        <f>'Вед-я стр-ра'!H1224</f>
        <v>109</v>
      </c>
      <c r="F817" s="240">
        <f>'Вед-я стр-ра'!I1224</f>
        <v>109</v>
      </c>
      <c r="G817" s="240">
        <f>'Вед-я стр-ра'!J1224</f>
        <v>109</v>
      </c>
      <c r="H817" s="240">
        <v>109</v>
      </c>
      <c r="I817" s="240">
        <v>109</v>
      </c>
      <c r="J817" s="240">
        <v>109</v>
      </c>
      <c r="K817" s="180" t="s">
        <v>137</v>
      </c>
      <c r="L817" s="239" t="s">
        <v>460</v>
      </c>
      <c r="M817" s="239" t="s">
        <v>155</v>
      </c>
      <c r="N817" s="240">
        <v>109</v>
      </c>
      <c r="O817" s="240">
        <v>109</v>
      </c>
      <c r="P817" s="240">
        <v>109</v>
      </c>
      <c r="Q817" s="101" t="b">
        <f t="shared" si="204"/>
        <v>1</v>
      </c>
      <c r="R817" s="101" t="b">
        <f t="shared" si="205"/>
        <v>1</v>
      </c>
      <c r="S817" s="101" t="b">
        <f t="shared" si="206"/>
        <v>1</v>
      </c>
      <c r="T817" s="167">
        <f t="shared" si="207"/>
        <v>0</v>
      </c>
      <c r="U817" s="167">
        <f t="shared" si="208"/>
        <v>0</v>
      </c>
      <c r="V817" s="167">
        <f t="shared" si="209"/>
        <v>0</v>
      </c>
    </row>
    <row r="818" spans="1:22" s="97" customFormat="1" ht="20.100000000000001" customHeight="1">
      <c r="A818" s="222"/>
      <c r="B818" s="178" t="s">
        <v>161</v>
      </c>
      <c r="C818" s="257" t="s">
        <v>461</v>
      </c>
      <c r="D818" s="239" t="s">
        <v>90</v>
      </c>
      <c r="E818" s="240">
        <f>E819</f>
        <v>58541.01</v>
      </c>
      <c r="F818" s="240">
        <f>F819</f>
        <v>58541.01</v>
      </c>
      <c r="G818" s="240">
        <f>G819</f>
        <v>58541.01</v>
      </c>
      <c r="H818" s="240">
        <v>58541.01</v>
      </c>
      <c r="I818" s="240">
        <v>58541.01</v>
      </c>
      <c r="J818" s="240">
        <v>58541.01</v>
      </c>
      <c r="K818" s="178" t="s">
        <v>161</v>
      </c>
      <c r="L818" s="257" t="s">
        <v>461</v>
      </c>
      <c r="M818" s="239" t="s">
        <v>90</v>
      </c>
      <c r="N818" s="240">
        <v>58541.01</v>
      </c>
      <c r="O818" s="240">
        <v>58541.01</v>
      </c>
      <c r="P818" s="240">
        <v>58541.01</v>
      </c>
      <c r="Q818" s="101" t="b">
        <f t="shared" si="204"/>
        <v>1</v>
      </c>
      <c r="R818" s="101" t="b">
        <f t="shared" si="205"/>
        <v>1</v>
      </c>
      <c r="S818" s="101" t="b">
        <f t="shared" si="206"/>
        <v>1</v>
      </c>
      <c r="T818" s="167">
        <f t="shared" si="207"/>
        <v>0</v>
      </c>
      <c r="U818" s="167">
        <f t="shared" si="208"/>
        <v>0</v>
      </c>
      <c r="V818" s="167">
        <f t="shared" si="209"/>
        <v>0</v>
      </c>
    </row>
    <row r="819" spans="1:22" s="97" customFormat="1" ht="20.100000000000001" customHeight="1">
      <c r="A819" s="222"/>
      <c r="B819" s="180" t="s">
        <v>144</v>
      </c>
      <c r="C819" s="257" t="s">
        <v>461</v>
      </c>
      <c r="D819" s="239" t="s">
        <v>152</v>
      </c>
      <c r="E819" s="240">
        <f>'Вед-я стр-ра'!H1226</f>
        <v>58541.01</v>
      </c>
      <c r="F819" s="240">
        <f>'Вед-я стр-ра'!I1226</f>
        <v>58541.01</v>
      </c>
      <c r="G819" s="240">
        <f>'Вед-я стр-ра'!J1226</f>
        <v>58541.01</v>
      </c>
      <c r="H819" s="240">
        <v>58541.01</v>
      </c>
      <c r="I819" s="240">
        <v>58541.01</v>
      </c>
      <c r="J819" s="240">
        <v>58541.01</v>
      </c>
      <c r="K819" s="180" t="s">
        <v>144</v>
      </c>
      <c r="L819" s="257" t="s">
        <v>461</v>
      </c>
      <c r="M819" s="239" t="s">
        <v>152</v>
      </c>
      <c r="N819" s="240">
        <v>58541.01</v>
      </c>
      <c r="O819" s="240">
        <v>58541.01</v>
      </c>
      <c r="P819" s="240">
        <v>58541.01</v>
      </c>
      <c r="Q819" s="101" t="b">
        <f t="shared" si="204"/>
        <v>1</v>
      </c>
      <c r="R819" s="101" t="b">
        <f t="shared" si="205"/>
        <v>1</v>
      </c>
      <c r="S819" s="101" t="b">
        <f t="shared" si="206"/>
        <v>1</v>
      </c>
      <c r="T819" s="167">
        <f t="shared" si="207"/>
        <v>0</v>
      </c>
      <c r="U819" s="167">
        <f t="shared" si="208"/>
        <v>0</v>
      </c>
      <c r="V819" s="167">
        <f t="shared" si="209"/>
        <v>0</v>
      </c>
    </row>
    <row r="820" spans="1:22" s="97" customFormat="1" ht="20.100000000000001" customHeight="1">
      <c r="A820" s="222"/>
      <c r="B820" s="178" t="s">
        <v>165</v>
      </c>
      <c r="C820" s="257" t="s">
        <v>449</v>
      </c>
      <c r="D820" s="239" t="s">
        <v>90</v>
      </c>
      <c r="E820" s="240">
        <f>E821</f>
        <v>500</v>
      </c>
      <c r="F820" s="240">
        <f>F821</f>
        <v>500</v>
      </c>
      <c r="G820" s="240">
        <f>G821</f>
        <v>500</v>
      </c>
      <c r="H820" s="240">
        <v>500</v>
      </c>
      <c r="I820" s="240">
        <v>500</v>
      </c>
      <c r="J820" s="240">
        <v>500</v>
      </c>
      <c r="K820" s="178" t="s">
        <v>165</v>
      </c>
      <c r="L820" s="257" t="s">
        <v>449</v>
      </c>
      <c r="M820" s="239" t="s">
        <v>90</v>
      </c>
      <c r="N820" s="240">
        <v>500</v>
      </c>
      <c r="O820" s="240">
        <v>500</v>
      </c>
      <c r="P820" s="240">
        <v>500</v>
      </c>
      <c r="Q820" s="101" t="b">
        <f t="shared" si="204"/>
        <v>1</v>
      </c>
      <c r="R820" s="101" t="b">
        <f t="shared" si="205"/>
        <v>1</v>
      </c>
      <c r="S820" s="101" t="b">
        <f t="shared" si="206"/>
        <v>1</v>
      </c>
      <c r="T820" s="167">
        <f t="shared" si="207"/>
        <v>0</v>
      </c>
      <c r="U820" s="167">
        <f t="shared" si="208"/>
        <v>0</v>
      </c>
      <c r="V820" s="167">
        <f t="shared" si="209"/>
        <v>0</v>
      </c>
    </row>
    <row r="821" spans="1:22" s="97" customFormat="1" ht="20.100000000000001" customHeight="1">
      <c r="A821" s="222"/>
      <c r="B821" s="180" t="s">
        <v>136</v>
      </c>
      <c r="C821" s="257" t="s">
        <v>449</v>
      </c>
      <c r="D821" s="239" t="s">
        <v>166</v>
      </c>
      <c r="E821" s="240">
        <f>'Вед-я стр-ра'!H1115</f>
        <v>500</v>
      </c>
      <c r="F821" s="240">
        <f>'Вед-я стр-ра'!I1115</f>
        <v>500</v>
      </c>
      <c r="G821" s="240">
        <f>'Вед-я стр-ра'!J1115</f>
        <v>500</v>
      </c>
      <c r="H821" s="240">
        <v>500</v>
      </c>
      <c r="I821" s="240">
        <v>500</v>
      </c>
      <c r="J821" s="240">
        <v>500</v>
      </c>
      <c r="K821" s="180" t="s">
        <v>136</v>
      </c>
      <c r="L821" s="257" t="s">
        <v>449</v>
      </c>
      <c r="M821" s="239" t="s">
        <v>166</v>
      </c>
      <c r="N821" s="240">
        <v>500</v>
      </c>
      <c r="O821" s="240">
        <v>500</v>
      </c>
      <c r="P821" s="240">
        <v>500</v>
      </c>
      <c r="Q821" s="101" t="b">
        <f t="shared" si="204"/>
        <v>1</v>
      </c>
      <c r="R821" s="101" t="b">
        <f t="shared" si="205"/>
        <v>1</v>
      </c>
      <c r="S821" s="101" t="b">
        <f t="shared" si="206"/>
        <v>1</v>
      </c>
      <c r="T821" s="167">
        <f t="shared" si="207"/>
        <v>0</v>
      </c>
      <c r="U821" s="167">
        <f t="shared" si="208"/>
        <v>0</v>
      </c>
      <c r="V821" s="167">
        <f t="shared" si="209"/>
        <v>0</v>
      </c>
    </row>
    <row r="822" spans="1:22" s="97" customFormat="1" ht="20.100000000000001" customHeight="1">
      <c r="A822" s="222"/>
      <c r="B822" s="182"/>
      <c r="C822" s="239"/>
      <c r="D822" s="239"/>
      <c r="E822" s="240"/>
      <c r="F822" s="240"/>
      <c r="G822" s="240"/>
      <c r="H822" s="240"/>
      <c r="I822" s="240"/>
      <c r="J822" s="240"/>
      <c r="K822" s="182"/>
      <c r="L822" s="239"/>
      <c r="M822" s="239"/>
      <c r="N822" s="240"/>
      <c r="O822" s="240"/>
      <c r="P822" s="240"/>
      <c r="Q822" s="101" t="b">
        <f t="shared" si="204"/>
        <v>1</v>
      </c>
      <c r="R822" s="101" t="b">
        <f t="shared" si="205"/>
        <v>1</v>
      </c>
      <c r="S822" s="101" t="b">
        <f t="shared" si="206"/>
        <v>1</v>
      </c>
      <c r="T822" s="167">
        <f t="shared" si="207"/>
        <v>0</v>
      </c>
      <c r="U822" s="167">
        <f t="shared" si="208"/>
        <v>0</v>
      </c>
      <c r="V822" s="167">
        <f t="shared" si="209"/>
        <v>0</v>
      </c>
    </row>
    <row r="823" spans="1:22" s="101" customFormat="1" ht="20.100000000000001" customHeight="1">
      <c r="A823" s="345"/>
      <c r="B823" s="232" t="s">
        <v>513</v>
      </c>
      <c r="C823" s="233" t="s">
        <v>501</v>
      </c>
      <c r="D823" s="233" t="s">
        <v>90</v>
      </c>
      <c r="E823" s="234">
        <f>E824+E837</f>
        <v>94827.64</v>
      </c>
      <c r="F823" s="234">
        <f>F824+F837</f>
        <v>91079.9</v>
      </c>
      <c r="G823" s="234">
        <f>G824+G837</f>
        <v>91113.450000000012</v>
      </c>
      <c r="H823" s="234">
        <v>94827.64</v>
      </c>
      <c r="I823" s="234">
        <v>91079.9</v>
      </c>
      <c r="J823" s="234">
        <v>91113.450000000012</v>
      </c>
      <c r="K823" s="232" t="s">
        <v>513</v>
      </c>
      <c r="L823" s="233" t="s">
        <v>501</v>
      </c>
      <c r="M823" s="233" t="s">
        <v>90</v>
      </c>
      <c r="N823" s="234">
        <v>91047.64</v>
      </c>
      <c r="O823" s="234">
        <v>91079.9</v>
      </c>
      <c r="P823" s="234">
        <v>91094.78</v>
      </c>
      <c r="Q823" s="101" t="b">
        <f t="shared" si="204"/>
        <v>1</v>
      </c>
      <c r="R823" s="101" t="b">
        <f t="shared" si="205"/>
        <v>1</v>
      </c>
      <c r="S823" s="101" t="b">
        <f t="shared" si="206"/>
        <v>1</v>
      </c>
      <c r="T823" s="167">
        <f t="shared" si="207"/>
        <v>3780</v>
      </c>
      <c r="U823" s="167">
        <f t="shared" si="208"/>
        <v>0</v>
      </c>
      <c r="V823" s="167">
        <f t="shared" si="209"/>
        <v>18.670000000012806</v>
      </c>
    </row>
    <row r="824" spans="1:22" s="102" customFormat="1" ht="20.100000000000001" customHeight="1">
      <c r="A824" s="346"/>
      <c r="B824" s="241" t="s">
        <v>514</v>
      </c>
      <c r="C824" s="236" t="s">
        <v>502</v>
      </c>
      <c r="D824" s="236" t="s">
        <v>90</v>
      </c>
      <c r="E824" s="237">
        <f>E825+E829+E835+E831</f>
        <v>86897.64</v>
      </c>
      <c r="F824" s="237">
        <f t="shared" ref="F824:G824" si="214">F825+F829+F835+F831</f>
        <v>86929.9</v>
      </c>
      <c r="G824" s="237">
        <f t="shared" si="214"/>
        <v>86963.450000000012</v>
      </c>
      <c r="H824" s="237">
        <v>86897.64</v>
      </c>
      <c r="I824" s="237">
        <v>86929.9</v>
      </c>
      <c r="J824" s="237">
        <v>86963.450000000012</v>
      </c>
      <c r="K824" s="241" t="s">
        <v>514</v>
      </c>
      <c r="L824" s="236" t="s">
        <v>502</v>
      </c>
      <c r="M824" s="236" t="s">
        <v>90</v>
      </c>
      <c r="N824" s="237">
        <v>86897.64</v>
      </c>
      <c r="O824" s="237">
        <v>86929.9</v>
      </c>
      <c r="P824" s="237">
        <v>86944.78</v>
      </c>
      <c r="Q824" s="101" t="b">
        <f t="shared" si="204"/>
        <v>1</v>
      </c>
      <c r="R824" s="101" t="b">
        <f t="shared" si="205"/>
        <v>1</v>
      </c>
      <c r="S824" s="101" t="b">
        <f t="shared" si="206"/>
        <v>1</v>
      </c>
      <c r="T824" s="167">
        <f t="shared" si="207"/>
        <v>0</v>
      </c>
      <c r="U824" s="167">
        <f t="shared" si="208"/>
        <v>0</v>
      </c>
      <c r="V824" s="167">
        <f t="shared" si="209"/>
        <v>18.670000000012806</v>
      </c>
    </row>
    <row r="825" spans="1:22" s="97" customFormat="1" ht="20.100000000000001" customHeight="1">
      <c r="A825" s="222"/>
      <c r="B825" s="178" t="s">
        <v>151</v>
      </c>
      <c r="C825" s="239" t="s">
        <v>503</v>
      </c>
      <c r="D825" s="239" t="s">
        <v>90</v>
      </c>
      <c r="E825" s="240">
        <f>E826+E827+E828</f>
        <v>4027.43</v>
      </c>
      <c r="F825" s="240">
        <f>F826+F827+F828</f>
        <v>4045.38</v>
      </c>
      <c r="G825" s="240">
        <f>G826+G827+G828</f>
        <v>4064.05</v>
      </c>
      <c r="H825" s="240">
        <v>4027.43</v>
      </c>
      <c r="I825" s="240">
        <v>4045.38</v>
      </c>
      <c r="J825" s="240">
        <v>4064.05</v>
      </c>
      <c r="K825" s="178" t="s">
        <v>151</v>
      </c>
      <c r="L825" s="239" t="s">
        <v>503</v>
      </c>
      <c r="M825" s="239" t="s">
        <v>90</v>
      </c>
      <c r="N825" s="240">
        <v>4027.43</v>
      </c>
      <c r="O825" s="240">
        <v>4045.38</v>
      </c>
      <c r="P825" s="240">
        <v>4045.38</v>
      </c>
      <c r="Q825" s="101" t="b">
        <f t="shared" ref="Q825:Q894" si="215">B825=K825</f>
        <v>1</v>
      </c>
      <c r="R825" s="101" t="b">
        <f t="shared" ref="R825:R894" si="216">C825=L825</f>
        <v>1</v>
      </c>
      <c r="S825" s="101" t="b">
        <f t="shared" ref="S825:S894" si="217">D825=M825</f>
        <v>1</v>
      </c>
      <c r="T825" s="167">
        <f t="shared" ref="T825:T894" si="218">E825-N825</f>
        <v>0</v>
      </c>
      <c r="U825" s="167">
        <f t="shared" ref="U825:U894" si="219">F825-O825</f>
        <v>0</v>
      </c>
      <c r="V825" s="167">
        <f t="shared" ref="V825:V894" si="220">G825-P825</f>
        <v>18.670000000000073</v>
      </c>
    </row>
    <row r="826" spans="1:22" s="97" customFormat="1" ht="20.100000000000001" customHeight="1">
      <c r="A826" s="222"/>
      <c r="B826" s="180" t="s">
        <v>144</v>
      </c>
      <c r="C826" s="239" t="s">
        <v>503</v>
      </c>
      <c r="D826" s="239" t="s">
        <v>152</v>
      </c>
      <c r="E826" s="240">
        <f>'Вед-я стр-ра'!H1253</f>
        <v>966</v>
      </c>
      <c r="F826" s="240">
        <f>'Вед-я стр-ра'!I1253</f>
        <v>966</v>
      </c>
      <c r="G826" s="240">
        <f>'Вед-я стр-ра'!J1253</f>
        <v>966</v>
      </c>
      <c r="H826" s="240">
        <v>966</v>
      </c>
      <c r="I826" s="240">
        <v>966</v>
      </c>
      <c r="J826" s="240">
        <v>966</v>
      </c>
      <c r="K826" s="180" t="s">
        <v>144</v>
      </c>
      <c r="L826" s="239" t="s">
        <v>503</v>
      </c>
      <c r="M826" s="239" t="s">
        <v>152</v>
      </c>
      <c r="N826" s="240">
        <v>966</v>
      </c>
      <c r="O826" s="240">
        <v>966</v>
      </c>
      <c r="P826" s="240">
        <v>966</v>
      </c>
      <c r="Q826" s="101" t="b">
        <f t="shared" si="215"/>
        <v>1</v>
      </c>
      <c r="R826" s="101" t="b">
        <f t="shared" si="216"/>
        <v>1</v>
      </c>
      <c r="S826" s="101" t="b">
        <f t="shared" si="217"/>
        <v>1</v>
      </c>
      <c r="T826" s="167">
        <f t="shared" si="218"/>
        <v>0</v>
      </c>
      <c r="U826" s="167">
        <f t="shared" si="219"/>
        <v>0</v>
      </c>
      <c r="V826" s="167">
        <f t="shared" si="220"/>
        <v>0</v>
      </c>
    </row>
    <row r="827" spans="1:22" s="97" customFormat="1" ht="20.100000000000001" customHeight="1">
      <c r="A827" s="222"/>
      <c r="B827" s="180" t="s">
        <v>145</v>
      </c>
      <c r="C827" s="239" t="s">
        <v>503</v>
      </c>
      <c r="D827" s="239" t="s">
        <v>153</v>
      </c>
      <c r="E827" s="240">
        <f>'Вед-я стр-ра'!H1254</f>
        <v>2869.6299999999997</v>
      </c>
      <c r="F827" s="240">
        <f>'Вед-я стр-ра'!I1254</f>
        <v>2887.58</v>
      </c>
      <c r="G827" s="240">
        <f>'Вед-я стр-ра'!J1254</f>
        <v>2906.25</v>
      </c>
      <c r="H827" s="240">
        <v>2869.6299999999997</v>
      </c>
      <c r="I827" s="240">
        <v>2887.58</v>
      </c>
      <c r="J827" s="240">
        <v>2906.25</v>
      </c>
      <c r="K827" s="180" t="s">
        <v>145</v>
      </c>
      <c r="L827" s="239" t="s">
        <v>503</v>
      </c>
      <c r="M827" s="239" t="s">
        <v>153</v>
      </c>
      <c r="N827" s="240">
        <v>2869.6299999999997</v>
      </c>
      <c r="O827" s="240">
        <v>2887.58</v>
      </c>
      <c r="P827" s="240">
        <v>2887.58</v>
      </c>
      <c r="Q827" s="101" t="b">
        <f t="shared" si="215"/>
        <v>1</v>
      </c>
      <c r="R827" s="101" t="b">
        <f t="shared" si="216"/>
        <v>1</v>
      </c>
      <c r="S827" s="101" t="b">
        <f t="shared" si="217"/>
        <v>1</v>
      </c>
      <c r="T827" s="167">
        <f t="shared" si="218"/>
        <v>0</v>
      </c>
      <c r="U827" s="167">
        <f t="shared" si="219"/>
        <v>0</v>
      </c>
      <c r="V827" s="167">
        <f t="shared" si="220"/>
        <v>18.670000000000073</v>
      </c>
    </row>
    <row r="828" spans="1:22" s="97" customFormat="1" ht="20.100000000000001" customHeight="1">
      <c r="A828" s="222"/>
      <c r="B828" s="180" t="s">
        <v>137</v>
      </c>
      <c r="C828" s="239" t="s">
        <v>503</v>
      </c>
      <c r="D828" s="239" t="s">
        <v>155</v>
      </c>
      <c r="E828" s="240">
        <f>'Вед-я стр-ра'!H1255</f>
        <v>191.8</v>
      </c>
      <c r="F828" s="240">
        <f>'Вед-я стр-ра'!I1255</f>
        <v>191.8</v>
      </c>
      <c r="G828" s="240">
        <f>'Вед-я стр-ра'!J1255</f>
        <v>191.8</v>
      </c>
      <c r="H828" s="240">
        <v>191.8</v>
      </c>
      <c r="I828" s="240">
        <v>191.8</v>
      </c>
      <c r="J828" s="240">
        <v>191.8</v>
      </c>
      <c r="K828" s="180" t="s">
        <v>137</v>
      </c>
      <c r="L828" s="239" t="s">
        <v>503</v>
      </c>
      <c r="M828" s="239" t="s">
        <v>155</v>
      </c>
      <c r="N828" s="240">
        <v>191.8</v>
      </c>
      <c r="O828" s="240">
        <v>191.8</v>
      </c>
      <c r="P828" s="240">
        <v>191.8</v>
      </c>
      <c r="Q828" s="101" t="b">
        <f t="shared" si="215"/>
        <v>1</v>
      </c>
      <c r="R828" s="101" t="b">
        <f t="shared" si="216"/>
        <v>1</v>
      </c>
      <c r="S828" s="101" t="b">
        <f t="shared" si="217"/>
        <v>1</v>
      </c>
      <c r="T828" s="167">
        <f t="shared" si="218"/>
        <v>0</v>
      </c>
      <c r="U828" s="167">
        <f t="shared" si="219"/>
        <v>0</v>
      </c>
      <c r="V828" s="167">
        <f t="shared" si="220"/>
        <v>0</v>
      </c>
    </row>
    <row r="829" spans="1:22" s="97" customFormat="1" ht="20.100000000000001" customHeight="1">
      <c r="A829" s="222"/>
      <c r="B829" s="178" t="s">
        <v>161</v>
      </c>
      <c r="C829" s="239" t="s">
        <v>504</v>
      </c>
      <c r="D829" s="239" t="s">
        <v>90</v>
      </c>
      <c r="E829" s="240">
        <f>E830</f>
        <v>60786.12</v>
      </c>
      <c r="F829" s="240">
        <f>F830</f>
        <v>60786.12</v>
      </c>
      <c r="G829" s="240">
        <f>G830</f>
        <v>60786.12</v>
      </c>
      <c r="H829" s="240">
        <v>60786.12</v>
      </c>
      <c r="I829" s="240">
        <v>60786.12</v>
      </c>
      <c r="J829" s="240">
        <v>60786.12</v>
      </c>
      <c r="K829" s="178" t="s">
        <v>161</v>
      </c>
      <c r="L829" s="239" t="s">
        <v>504</v>
      </c>
      <c r="M829" s="239" t="s">
        <v>90</v>
      </c>
      <c r="N829" s="240">
        <v>60786.12</v>
      </c>
      <c r="O829" s="240">
        <v>60786.12</v>
      </c>
      <c r="P829" s="240">
        <v>60786.12</v>
      </c>
      <c r="Q829" s="101" t="b">
        <f t="shared" si="215"/>
        <v>1</v>
      </c>
      <c r="R829" s="101" t="b">
        <f t="shared" si="216"/>
        <v>1</v>
      </c>
      <c r="S829" s="101" t="b">
        <f t="shared" si="217"/>
        <v>1</v>
      </c>
      <c r="T829" s="167">
        <f t="shared" si="218"/>
        <v>0</v>
      </c>
      <c r="U829" s="167">
        <f t="shared" si="219"/>
        <v>0</v>
      </c>
      <c r="V829" s="167">
        <f t="shared" si="220"/>
        <v>0</v>
      </c>
    </row>
    <row r="830" spans="1:22" s="97" customFormat="1" ht="20.100000000000001" customHeight="1">
      <c r="A830" s="222"/>
      <c r="B830" s="180" t="s">
        <v>144</v>
      </c>
      <c r="C830" s="239" t="s">
        <v>504</v>
      </c>
      <c r="D830" s="239" t="s">
        <v>152</v>
      </c>
      <c r="E830" s="240">
        <f>'Вед-я стр-ра'!H1257</f>
        <v>60786.12</v>
      </c>
      <c r="F830" s="240">
        <f>'Вед-я стр-ра'!I1257</f>
        <v>60786.12</v>
      </c>
      <c r="G830" s="240">
        <f>'Вед-я стр-ра'!J1257</f>
        <v>60786.12</v>
      </c>
      <c r="H830" s="240">
        <v>60786.12</v>
      </c>
      <c r="I830" s="240">
        <v>60786.12</v>
      </c>
      <c r="J830" s="240">
        <v>60786.12</v>
      </c>
      <c r="K830" s="180" t="s">
        <v>144</v>
      </c>
      <c r="L830" s="239" t="s">
        <v>504</v>
      </c>
      <c r="M830" s="239" t="s">
        <v>152</v>
      </c>
      <c r="N830" s="240">
        <v>60786.12</v>
      </c>
      <c r="O830" s="240">
        <v>60786.12</v>
      </c>
      <c r="P830" s="240">
        <v>60786.12</v>
      </c>
      <c r="Q830" s="101" t="b">
        <f t="shared" si="215"/>
        <v>1</v>
      </c>
      <c r="R830" s="101" t="b">
        <f t="shared" si="216"/>
        <v>1</v>
      </c>
      <c r="S830" s="101" t="b">
        <f t="shared" si="217"/>
        <v>1</v>
      </c>
      <c r="T830" s="167">
        <f t="shared" si="218"/>
        <v>0</v>
      </c>
      <c r="U830" s="167">
        <f t="shared" si="219"/>
        <v>0</v>
      </c>
      <c r="V830" s="167">
        <f t="shared" si="220"/>
        <v>0</v>
      </c>
    </row>
    <row r="831" spans="1:22" s="97" customFormat="1" ht="20.100000000000001" customHeight="1">
      <c r="A831" s="222"/>
      <c r="B831" s="178" t="s">
        <v>254</v>
      </c>
      <c r="C831" s="37" t="s">
        <v>986</v>
      </c>
      <c r="D831" s="37" t="s">
        <v>90</v>
      </c>
      <c r="E831" s="240">
        <f>E832+E833+E834</f>
        <v>22034.09</v>
      </c>
      <c r="F831" s="240">
        <f>F832+F833+F834</f>
        <v>22048.400000000001</v>
      </c>
      <c r="G831" s="240">
        <f>G832+G833+G834</f>
        <v>22063.279999999999</v>
      </c>
      <c r="H831" s="240">
        <v>22034.09</v>
      </c>
      <c r="I831" s="240">
        <v>22048.400000000001</v>
      </c>
      <c r="J831" s="240">
        <v>22063.279999999999</v>
      </c>
      <c r="K831" s="178" t="s">
        <v>254</v>
      </c>
      <c r="L831" s="37" t="s">
        <v>986</v>
      </c>
      <c r="M831" s="37" t="s">
        <v>90</v>
      </c>
      <c r="N831" s="240">
        <v>22034.09</v>
      </c>
      <c r="O831" s="240">
        <v>22048.400000000001</v>
      </c>
      <c r="P831" s="240">
        <v>22063.279999999999</v>
      </c>
      <c r="Q831" s="101" t="b">
        <f t="shared" si="215"/>
        <v>1</v>
      </c>
      <c r="R831" s="101" t="b">
        <f t="shared" si="216"/>
        <v>1</v>
      </c>
      <c r="S831" s="101" t="b">
        <f t="shared" si="217"/>
        <v>1</v>
      </c>
      <c r="T831" s="167">
        <f t="shared" si="218"/>
        <v>0</v>
      </c>
      <c r="U831" s="167">
        <f t="shared" si="219"/>
        <v>0</v>
      </c>
      <c r="V831" s="167">
        <f t="shared" si="220"/>
        <v>0</v>
      </c>
    </row>
    <row r="832" spans="1:22" s="97" customFormat="1" ht="20.100000000000001" customHeight="1">
      <c r="A832" s="222"/>
      <c r="B832" s="180" t="s">
        <v>143</v>
      </c>
      <c r="C832" s="37" t="s">
        <v>986</v>
      </c>
      <c r="D832" s="37" t="s">
        <v>157</v>
      </c>
      <c r="E832" s="240">
        <f>'Вед-я стр-ра'!H1259</f>
        <v>19068.39</v>
      </c>
      <c r="F832" s="240">
        <f>'Вед-я стр-ра'!I1259</f>
        <v>19068.39</v>
      </c>
      <c r="G832" s="240">
        <f>'Вед-я стр-ра'!J1259</f>
        <v>19068.39</v>
      </c>
      <c r="H832" s="240">
        <v>19068.39</v>
      </c>
      <c r="I832" s="240">
        <v>19068.39</v>
      </c>
      <c r="J832" s="240">
        <v>19068.39</v>
      </c>
      <c r="K832" s="180" t="s">
        <v>143</v>
      </c>
      <c r="L832" s="37" t="s">
        <v>986</v>
      </c>
      <c r="M832" s="37" t="s">
        <v>157</v>
      </c>
      <c r="N832" s="240">
        <v>19068.39</v>
      </c>
      <c r="O832" s="240">
        <v>19068.39</v>
      </c>
      <c r="P832" s="240">
        <v>19068.39</v>
      </c>
      <c r="Q832" s="101" t="b">
        <f t="shared" si="215"/>
        <v>1</v>
      </c>
      <c r="R832" s="101" t="b">
        <f t="shared" si="216"/>
        <v>1</v>
      </c>
      <c r="S832" s="101" t="b">
        <f t="shared" si="217"/>
        <v>1</v>
      </c>
      <c r="T832" s="167">
        <f t="shared" si="218"/>
        <v>0</v>
      </c>
      <c r="U832" s="167">
        <f t="shared" si="219"/>
        <v>0</v>
      </c>
      <c r="V832" s="167">
        <f t="shared" si="220"/>
        <v>0</v>
      </c>
    </row>
    <row r="833" spans="1:22" s="97" customFormat="1" ht="20.100000000000001" customHeight="1">
      <c r="A833" s="222"/>
      <c r="B833" s="180" t="s">
        <v>145</v>
      </c>
      <c r="C833" s="37" t="s">
        <v>986</v>
      </c>
      <c r="D833" s="37" t="s">
        <v>153</v>
      </c>
      <c r="E833" s="240">
        <f>'Вед-я стр-ра'!H1260</f>
        <v>2848.4500000000003</v>
      </c>
      <c r="F833" s="240">
        <f>'Вед-я стр-ра'!I1260</f>
        <v>2862.76</v>
      </c>
      <c r="G833" s="240">
        <f>'Вед-я стр-ра'!J1260</f>
        <v>2877.64</v>
      </c>
      <c r="H833" s="240">
        <v>2848.4500000000003</v>
      </c>
      <c r="I833" s="240">
        <v>2862.76</v>
      </c>
      <c r="J833" s="240">
        <v>2877.64</v>
      </c>
      <c r="K833" s="180" t="s">
        <v>145</v>
      </c>
      <c r="L833" s="37" t="s">
        <v>986</v>
      </c>
      <c r="M833" s="37" t="s">
        <v>153</v>
      </c>
      <c r="N833" s="240">
        <v>2848.4500000000003</v>
      </c>
      <c r="O833" s="240">
        <v>2862.76</v>
      </c>
      <c r="P833" s="240">
        <v>2877.64</v>
      </c>
      <c r="Q833" s="101" t="b">
        <f t="shared" si="215"/>
        <v>1</v>
      </c>
      <c r="R833" s="101" t="b">
        <f t="shared" si="216"/>
        <v>1</v>
      </c>
      <c r="S833" s="101" t="b">
        <f t="shared" si="217"/>
        <v>1</v>
      </c>
      <c r="T833" s="167">
        <f t="shared" si="218"/>
        <v>0</v>
      </c>
      <c r="U833" s="167">
        <f t="shared" si="219"/>
        <v>0</v>
      </c>
      <c r="V833" s="167">
        <f t="shared" si="220"/>
        <v>0</v>
      </c>
    </row>
    <row r="834" spans="1:22" s="97" customFormat="1" ht="20.100000000000001" customHeight="1">
      <c r="A834" s="222"/>
      <c r="B834" s="23" t="s">
        <v>137</v>
      </c>
      <c r="C834" s="37" t="s">
        <v>986</v>
      </c>
      <c r="D834" s="37" t="s">
        <v>155</v>
      </c>
      <c r="E834" s="240">
        <f>'Вед-я стр-ра'!H1261</f>
        <v>117.25</v>
      </c>
      <c r="F834" s="240">
        <f>'Вед-я стр-ра'!I1261</f>
        <v>117.25</v>
      </c>
      <c r="G834" s="240">
        <f>'Вед-я стр-ра'!J1261</f>
        <v>117.25</v>
      </c>
      <c r="H834" s="240">
        <v>117.25</v>
      </c>
      <c r="I834" s="240">
        <v>117.25</v>
      </c>
      <c r="J834" s="240">
        <v>117.25</v>
      </c>
      <c r="K834" s="23" t="s">
        <v>137</v>
      </c>
      <c r="L834" s="37" t="s">
        <v>986</v>
      </c>
      <c r="M834" s="37" t="s">
        <v>155</v>
      </c>
      <c r="N834" s="240">
        <v>117.25</v>
      </c>
      <c r="O834" s="240">
        <v>117.25</v>
      </c>
      <c r="P834" s="240">
        <v>117.25</v>
      </c>
      <c r="Q834" s="101" t="b">
        <f t="shared" si="215"/>
        <v>1</v>
      </c>
      <c r="R834" s="101" t="b">
        <f t="shared" si="216"/>
        <v>1</v>
      </c>
      <c r="S834" s="101" t="b">
        <f t="shared" si="217"/>
        <v>1</v>
      </c>
      <c r="T834" s="167">
        <f t="shared" si="218"/>
        <v>0</v>
      </c>
      <c r="U834" s="167">
        <f t="shared" si="219"/>
        <v>0</v>
      </c>
      <c r="V834" s="167">
        <f t="shared" si="220"/>
        <v>0</v>
      </c>
    </row>
    <row r="835" spans="1:22" s="97" customFormat="1" ht="20.100000000000001" customHeight="1">
      <c r="A835" s="222"/>
      <c r="B835" s="54" t="s">
        <v>165</v>
      </c>
      <c r="C835" s="57" t="s">
        <v>837</v>
      </c>
      <c r="D835" s="57" t="s">
        <v>90</v>
      </c>
      <c r="E835" s="183">
        <f>E836</f>
        <v>50</v>
      </c>
      <c r="F835" s="183">
        <f>F836</f>
        <v>50</v>
      </c>
      <c r="G835" s="183">
        <f>G836</f>
        <v>50</v>
      </c>
      <c r="H835" s="183">
        <v>50</v>
      </c>
      <c r="I835" s="183">
        <v>50</v>
      </c>
      <c r="J835" s="183">
        <v>50</v>
      </c>
      <c r="K835" s="54" t="s">
        <v>165</v>
      </c>
      <c r="L835" s="57" t="s">
        <v>837</v>
      </c>
      <c r="M835" s="57" t="s">
        <v>90</v>
      </c>
      <c r="N835" s="183">
        <v>50</v>
      </c>
      <c r="O835" s="183">
        <v>50</v>
      </c>
      <c r="P835" s="183">
        <v>50</v>
      </c>
      <c r="Q835" s="101" t="b">
        <f t="shared" si="215"/>
        <v>1</v>
      </c>
      <c r="R835" s="101" t="b">
        <f t="shared" si="216"/>
        <v>1</v>
      </c>
      <c r="S835" s="101" t="b">
        <f t="shared" si="217"/>
        <v>1</v>
      </c>
      <c r="T835" s="167">
        <f t="shared" si="218"/>
        <v>0</v>
      </c>
      <c r="U835" s="167">
        <f t="shared" si="219"/>
        <v>0</v>
      </c>
      <c r="V835" s="167">
        <f t="shared" si="220"/>
        <v>0</v>
      </c>
    </row>
    <row r="836" spans="1:22" s="97" customFormat="1" ht="20.100000000000001" customHeight="1">
      <c r="A836" s="222"/>
      <c r="B836" s="225" t="s">
        <v>136</v>
      </c>
      <c r="C836" s="57" t="s">
        <v>837</v>
      </c>
      <c r="D836" s="57" t="s">
        <v>166</v>
      </c>
      <c r="E836" s="183">
        <f>'Вед-я стр-ра'!H1263</f>
        <v>50</v>
      </c>
      <c r="F836" s="183">
        <f>'Вед-я стр-ра'!I1263</f>
        <v>50</v>
      </c>
      <c r="G836" s="183">
        <f>'Вед-я стр-ра'!J1263</f>
        <v>50</v>
      </c>
      <c r="H836" s="530">
        <v>50</v>
      </c>
      <c r="I836" s="530">
        <v>50</v>
      </c>
      <c r="J836" s="530">
        <v>50</v>
      </c>
      <c r="K836" s="225" t="s">
        <v>136</v>
      </c>
      <c r="L836" s="57" t="s">
        <v>837</v>
      </c>
      <c r="M836" s="57" t="s">
        <v>166</v>
      </c>
      <c r="N836" s="183">
        <v>50</v>
      </c>
      <c r="O836" s="183">
        <v>50</v>
      </c>
      <c r="P836" s="183">
        <v>50</v>
      </c>
      <c r="Q836" s="101" t="b">
        <f t="shared" si="215"/>
        <v>1</v>
      </c>
      <c r="R836" s="101" t="b">
        <f t="shared" si="216"/>
        <v>1</v>
      </c>
      <c r="S836" s="101" t="b">
        <f t="shared" si="217"/>
        <v>1</v>
      </c>
      <c r="T836" s="167">
        <f t="shared" si="218"/>
        <v>0</v>
      </c>
      <c r="U836" s="167">
        <f t="shared" si="219"/>
        <v>0</v>
      </c>
      <c r="V836" s="167">
        <f t="shared" si="220"/>
        <v>0</v>
      </c>
    </row>
    <row r="837" spans="1:22" s="97" customFormat="1" ht="20.100000000000001" customHeight="1">
      <c r="A837" s="222"/>
      <c r="B837" s="241" t="s">
        <v>200</v>
      </c>
      <c r="C837" s="236" t="s">
        <v>505</v>
      </c>
      <c r="D837" s="236" t="s">
        <v>90</v>
      </c>
      <c r="E837" s="237">
        <f>E843+E845+E838+E841</f>
        <v>7930</v>
      </c>
      <c r="F837" s="237">
        <f>F843+F845+F838</f>
        <v>4150</v>
      </c>
      <c r="G837" s="237">
        <f>G843+G845+G838</f>
        <v>4150</v>
      </c>
      <c r="H837" s="237">
        <v>7930</v>
      </c>
      <c r="I837" s="237">
        <v>4150</v>
      </c>
      <c r="J837" s="237">
        <v>4150</v>
      </c>
      <c r="K837" s="241" t="s">
        <v>200</v>
      </c>
      <c r="L837" s="236" t="s">
        <v>505</v>
      </c>
      <c r="M837" s="236" t="s">
        <v>90</v>
      </c>
      <c r="N837" s="237">
        <v>4150</v>
      </c>
      <c r="O837" s="237">
        <v>4150</v>
      </c>
      <c r="P837" s="237">
        <v>4150</v>
      </c>
      <c r="Q837" s="101" t="b">
        <f t="shared" si="215"/>
        <v>1</v>
      </c>
      <c r="R837" s="101" t="b">
        <f t="shared" si="216"/>
        <v>1</v>
      </c>
      <c r="S837" s="101" t="b">
        <f t="shared" si="217"/>
        <v>1</v>
      </c>
      <c r="T837" s="167">
        <f t="shared" si="218"/>
        <v>3780</v>
      </c>
      <c r="U837" s="167">
        <f t="shared" si="219"/>
        <v>0</v>
      </c>
      <c r="V837" s="167">
        <f t="shared" si="220"/>
        <v>0</v>
      </c>
    </row>
    <row r="838" spans="1:22" s="97" customFormat="1" ht="20.100000000000001" customHeight="1">
      <c r="A838" s="222"/>
      <c r="B838" s="178" t="s">
        <v>201</v>
      </c>
      <c r="C838" s="239" t="s">
        <v>726</v>
      </c>
      <c r="D838" s="239" t="s">
        <v>90</v>
      </c>
      <c r="E838" s="240">
        <f>E839+E840</f>
        <v>550</v>
      </c>
      <c r="F838" s="240">
        <f>F839+F840</f>
        <v>550</v>
      </c>
      <c r="G838" s="240">
        <f>G839+G840</f>
        <v>550</v>
      </c>
      <c r="H838" s="240">
        <v>550</v>
      </c>
      <c r="I838" s="240">
        <v>550</v>
      </c>
      <c r="J838" s="240">
        <v>550</v>
      </c>
      <c r="K838" s="178" t="s">
        <v>201</v>
      </c>
      <c r="L838" s="239" t="s">
        <v>726</v>
      </c>
      <c r="M838" s="239" t="s">
        <v>90</v>
      </c>
      <c r="N838" s="240">
        <v>550</v>
      </c>
      <c r="O838" s="240">
        <v>550</v>
      </c>
      <c r="P838" s="240">
        <v>550</v>
      </c>
      <c r="Q838" s="101" t="b">
        <f t="shared" si="215"/>
        <v>1</v>
      </c>
      <c r="R838" s="101" t="b">
        <f t="shared" si="216"/>
        <v>1</v>
      </c>
      <c r="S838" s="101" t="b">
        <f t="shared" si="217"/>
        <v>1</v>
      </c>
      <c r="T838" s="167">
        <f t="shared" si="218"/>
        <v>0</v>
      </c>
      <c r="U838" s="167">
        <f t="shared" si="219"/>
        <v>0</v>
      </c>
      <c r="V838" s="167">
        <f t="shared" si="220"/>
        <v>0</v>
      </c>
    </row>
    <row r="839" spans="1:22" s="97" customFormat="1" ht="20.100000000000001" customHeight="1">
      <c r="A839" s="222"/>
      <c r="B839" s="180" t="s">
        <v>145</v>
      </c>
      <c r="C839" s="239" t="s">
        <v>726</v>
      </c>
      <c r="D839" s="239" t="s">
        <v>153</v>
      </c>
      <c r="E839" s="240">
        <f>'Вед-я стр-ра'!H1266</f>
        <v>200</v>
      </c>
      <c r="F839" s="240">
        <f>'Вед-я стр-ра'!I1266</f>
        <v>200</v>
      </c>
      <c r="G839" s="240">
        <f>'Вед-я стр-ра'!J1266</f>
        <v>200</v>
      </c>
      <c r="H839" s="240">
        <v>200</v>
      </c>
      <c r="I839" s="240">
        <v>200</v>
      </c>
      <c r="J839" s="240">
        <v>200</v>
      </c>
      <c r="K839" s="180" t="s">
        <v>145</v>
      </c>
      <c r="L839" s="239" t="s">
        <v>726</v>
      </c>
      <c r="M839" s="239" t="s">
        <v>153</v>
      </c>
      <c r="N839" s="240">
        <v>200</v>
      </c>
      <c r="O839" s="240">
        <v>200</v>
      </c>
      <c r="P839" s="240">
        <v>200</v>
      </c>
      <c r="Q839" s="101" t="b">
        <f t="shared" si="215"/>
        <v>1</v>
      </c>
      <c r="R839" s="101" t="b">
        <f t="shared" si="216"/>
        <v>1</v>
      </c>
      <c r="S839" s="101" t="b">
        <f t="shared" si="217"/>
        <v>1</v>
      </c>
      <c r="T839" s="167">
        <f t="shared" si="218"/>
        <v>0</v>
      </c>
      <c r="U839" s="167">
        <f t="shared" si="219"/>
        <v>0</v>
      </c>
      <c r="V839" s="167">
        <f t="shared" si="220"/>
        <v>0</v>
      </c>
    </row>
    <row r="840" spans="1:22" s="97" customFormat="1" ht="20.100000000000001" customHeight="1">
      <c r="A840" s="222"/>
      <c r="B840" s="40" t="s">
        <v>136</v>
      </c>
      <c r="C840" s="239" t="s">
        <v>726</v>
      </c>
      <c r="D840" s="239" t="s">
        <v>166</v>
      </c>
      <c r="E840" s="240">
        <f>'Вед-я стр-ра'!H1267</f>
        <v>350</v>
      </c>
      <c r="F840" s="240">
        <f>'Вед-я стр-ра'!I1267</f>
        <v>350</v>
      </c>
      <c r="G840" s="240">
        <f>'Вед-я стр-ра'!J1267</f>
        <v>350</v>
      </c>
      <c r="H840" s="240">
        <v>350</v>
      </c>
      <c r="I840" s="240">
        <v>350</v>
      </c>
      <c r="J840" s="240">
        <v>350</v>
      </c>
      <c r="K840" s="40" t="s">
        <v>136</v>
      </c>
      <c r="L840" s="239" t="s">
        <v>726</v>
      </c>
      <c r="M840" s="239" t="s">
        <v>166</v>
      </c>
      <c r="N840" s="240">
        <v>350</v>
      </c>
      <c r="O840" s="240">
        <v>350</v>
      </c>
      <c r="P840" s="240">
        <v>350</v>
      </c>
      <c r="Q840" s="101" t="b">
        <f t="shared" si="215"/>
        <v>1</v>
      </c>
      <c r="R840" s="101" t="b">
        <f t="shared" si="216"/>
        <v>1</v>
      </c>
      <c r="S840" s="101" t="b">
        <f t="shared" si="217"/>
        <v>1</v>
      </c>
      <c r="T840" s="167">
        <f t="shared" si="218"/>
        <v>0</v>
      </c>
      <c r="U840" s="167">
        <f t="shared" si="219"/>
        <v>0</v>
      </c>
      <c r="V840" s="167">
        <f t="shared" si="220"/>
        <v>0</v>
      </c>
    </row>
    <row r="841" spans="1:22" s="97" customFormat="1" ht="20.100000000000001" customHeight="1">
      <c r="A841" s="222"/>
      <c r="B841" s="182" t="s">
        <v>1256</v>
      </c>
      <c r="C841" s="37" t="s">
        <v>1257</v>
      </c>
      <c r="D841" s="37" t="s">
        <v>90</v>
      </c>
      <c r="E841" s="183">
        <f>E842</f>
        <v>3780</v>
      </c>
      <c r="F841" s="183">
        <f t="shared" ref="F841:G841" si="221">F842</f>
        <v>0</v>
      </c>
      <c r="G841" s="183">
        <f t="shared" si="221"/>
        <v>0</v>
      </c>
      <c r="H841" s="183">
        <v>3780</v>
      </c>
      <c r="I841" s="183">
        <v>0</v>
      </c>
      <c r="J841" s="183">
        <v>0</v>
      </c>
      <c r="K841" s="40"/>
      <c r="L841" s="239"/>
      <c r="M841" s="239"/>
      <c r="N841" s="240"/>
      <c r="O841" s="240"/>
      <c r="P841" s="240"/>
      <c r="Q841" s="101"/>
      <c r="R841" s="101"/>
      <c r="S841" s="101"/>
      <c r="T841" s="167"/>
      <c r="U841" s="167"/>
      <c r="V841" s="167"/>
    </row>
    <row r="842" spans="1:22" s="97" customFormat="1" ht="20.100000000000001" customHeight="1">
      <c r="A842" s="222"/>
      <c r="B842" s="182" t="s">
        <v>145</v>
      </c>
      <c r="C842" s="37" t="s">
        <v>1257</v>
      </c>
      <c r="D842" s="37" t="s">
        <v>153</v>
      </c>
      <c r="E842" s="183">
        <f>'Вед-я стр-ра'!H1289</f>
        <v>3780</v>
      </c>
      <c r="F842" s="183">
        <f>'Вед-я стр-ра'!I1289</f>
        <v>0</v>
      </c>
      <c r="G842" s="183">
        <f>'Вед-я стр-ра'!J1289</f>
        <v>0</v>
      </c>
      <c r="H842" s="183">
        <v>3780</v>
      </c>
      <c r="I842" s="183">
        <v>0</v>
      </c>
      <c r="J842" s="183">
        <v>0</v>
      </c>
      <c r="K842" s="40"/>
      <c r="L842" s="239"/>
      <c r="M842" s="239"/>
      <c r="N842" s="240"/>
      <c r="O842" s="240"/>
      <c r="P842" s="240"/>
      <c r="Q842" s="101"/>
      <c r="R842" s="101"/>
      <c r="S842" s="101"/>
      <c r="T842" s="167"/>
      <c r="U842" s="167"/>
      <c r="V842" s="167"/>
    </row>
    <row r="843" spans="1:22" s="97" customFormat="1" ht="20.100000000000001" customHeight="1">
      <c r="A843" s="222"/>
      <c r="B843" s="23" t="s">
        <v>762</v>
      </c>
      <c r="C843" s="239" t="s">
        <v>506</v>
      </c>
      <c r="D843" s="239" t="s">
        <v>90</v>
      </c>
      <c r="E843" s="240">
        <f>E844</f>
        <v>3500</v>
      </c>
      <c r="F843" s="240">
        <f>F844</f>
        <v>3500</v>
      </c>
      <c r="G843" s="240">
        <f>G844</f>
        <v>3500</v>
      </c>
      <c r="H843" s="240">
        <v>3500</v>
      </c>
      <c r="I843" s="240">
        <v>3500</v>
      </c>
      <c r="J843" s="240">
        <v>3500</v>
      </c>
      <c r="K843" s="23" t="s">
        <v>762</v>
      </c>
      <c r="L843" s="239" t="s">
        <v>506</v>
      </c>
      <c r="M843" s="239" t="s">
        <v>90</v>
      </c>
      <c r="N843" s="240">
        <v>3500</v>
      </c>
      <c r="O843" s="240">
        <v>3500</v>
      </c>
      <c r="P843" s="240">
        <v>3500</v>
      </c>
      <c r="Q843" s="101" t="b">
        <f t="shared" si="215"/>
        <v>1</v>
      </c>
      <c r="R843" s="101" t="b">
        <f t="shared" si="216"/>
        <v>1</v>
      </c>
      <c r="S843" s="101" t="b">
        <f t="shared" si="217"/>
        <v>1</v>
      </c>
      <c r="T843" s="167">
        <f t="shared" si="218"/>
        <v>0</v>
      </c>
      <c r="U843" s="167">
        <f t="shared" si="219"/>
        <v>0</v>
      </c>
      <c r="V843" s="167">
        <f t="shared" si="220"/>
        <v>0</v>
      </c>
    </row>
    <row r="844" spans="1:22" s="97" customFormat="1" ht="20.100000000000001" customHeight="1">
      <c r="A844" s="222"/>
      <c r="B844" s="180" t="s">
        <v>145</v>
      </c>
      <c r="C844" s="239" t="s">
        <v>506</v>
      </c>
      <c r="D844" s="239" t="s">
        <v>153</v>
      </c>
      <c r="E844" s="240">
        <f>'Вед-я стр-ра'!H1269</f>
        <v>3500</v>
      </c>
      <c r="F844" s="240">
        <f>'Вед-я стр-ра'!I1269</f>
        <v>3500</v>
      </c>
      <c r="G844" s="240">
        <f>'Вед-я стр-ра'!J1269</f>
        <v>3500</v>
      </c>
      <c r="H844" s="240">
        <v>3500</v>
      </c>
      <c r="I844" s="240">
        <v>3500</v>
      </c>
      <c r="J844" s="240">
        <v>3500</v>
      </c>
      <c r="K844" s="180" t="s">
        <v>145</v>
      </c>
      <c r="L844" s="239" t="s">
        <v>506</v>
      </c>
      <c r="M844" s="239" t="s">
        <v>153</v>
      </c>
      <c r="N844" s="240">
        <v>3500</v>
      </c>
      <c r="O844" s="240">
        <v>3500</v>
      </c>
      <c r="P844" s="240">
        <v>3500</v>
      </c>
      <c r="Q844" s="101" t="b">
        <f t="shared" si="215"/>
        <v>1</v>
      </c>
      <c r="R844" s="101" t="b">
        <f t="shared" si="216"/>
        <v>1</v>
      </c>
      <c r="S844" s="101" t="b">
        <f t="shared" si="217"/>
        <v>1</v>
      </c>
      <c r="T844" s="167">
        <f t="shared" si="218"/>
        <v>0</v>
      </c>
      <c r="U844" s="167">
        <f t="shared" si="219"/>
        <v>0</v>
      </c>
      <c r="V844" s="167">
        <f t="shared" si="220"/>
        <v>0</v>
      </c>
    </row>
    <row r="845" spans="1:22" s="97" customFormat="1" ht="20.100000000000001" customHeight="1">
      <c r="A845" s="222"/>
      <c r="B845" s="180" t="s">
        <v>628</v>
      </c>
      <c r="C845" s="239" t="s">
        <v>507</v>
      </c>
      <c r="D845" s="239" t="s">
        <v>90</v>
      </c>
      <c r="E845" s="240">
        <f>E846</f>
        <v>100</v>
      </c>
      <c r="F845" s="240">
        <f>F846</f>
        <v>100</v>
      </c>
      <c r="G845" s="240">
        <f>G846</f>
        <v>100</v>
      </c>
      <c r="H845" s="240">
        <v>100</v>
      </c>
      <c r="I845" s="240">
        <v>100</v>
      </c>
      <c r="J845" s="240">
        <v>100</v>
      </c>
      <c r="K845" s="180" t="s">
        <v>628</v>
      </c>
      <c r="L845" s="239" t="s">
        <v>507</v>
      </c>
      <c r="M845" s="239" t="s">
        <v>90</v>
      </c>
      <c r="N845" s="240">
        <v>100</v>
      </c>
      <c r="O845" s="240">
        <v>100</v>
      </c>
      <c r="P845" s="240">
        <v>100</v>
      </c>
      <c r="Q845" s="101" t="b">
        <f t="shared" si="215"/>
        <v>1</v>
      </c>
      <c r="R845" s="101" t="b">
        <f t="shared" si="216"/>
        <v>1</v>
      </c>
      <c r="S845" s="101" t="b">
        <f t="shared" si="217"/>
        <v>1</v>
      </c>
      <c r="T845" s="167">
        <f t="shared" si="218"/>
        <v>0</v>
      </c>
      <c r="U845" s="167">
        <f t="shared" si="219"/>
        <v>0</v>
      </c>
      <c r="V845" s="167">
        <f t="shared" si="220"/>
        <v>0</v>
      </c>
    </row>
    <row r="846" spans="1:22" s="97" customFormat="1" ht="20.100000000000001" customHeight="1">
      <c r="A846" s="222"/>
      <c r="B846" s="180" t="s">
        <v>145</v>
      </c>
      <c r="C846" s="239" t="s">
        <v>507</v>
      </c>
      <c r="D846" s="239" t="s">
        <v>153</v>
      </c>
      <c r="E846" s="240">
        <f>'Вед-я стр-ра'!H1283</f>
        <v>100</v>
      </c>
      <c r="F846" s="240">
        <f>'Вед-я стр-ра'!I1283</f>
        <v>100</v>
      </c>
      <c r="G846" s="240">
        <f>'Вед-я стр-ра'!J1283</f>
        <v>100</v>
      </c>
      <c r="H846" s="240">
        <v>100</v>
      </c>
      <c r="I846" s="240">
        <v>100</v>
      </c>
      <c r="J846" s="240">
        <v>100</v>
      </c>
      <c r="K846" s="180" t="s">
        <v>145</v>
      </c>
      <c r="L846" s="239" t="s">
        <v>507</v>
      </c>
      <c r="M846" s="239" t="s">
        <v>153</v>
      </c>
      <c r="N846" s="240">
        <v>100</v>
      </c>
      <c r="O846" s="240">
        <v>100</v>
      </c>
      <c r="P846" s="240">
        <v>100</v>
      </c>
      <c r="Q846" s="101" t="b">
        <f t="shared" si="215"/>
        <v>1</v>
      </c>
      <c r="R846" s="101" t="b">
        <f t="shared" si="216"/>
        <v>1</v>
      </c>
      <c r="S846" s="101" t="b">
        <f t="shared" si="217"/>
        <v>1</v>
      </c>
      <c r="T846" s="167">
        <f t="shared" si="218"/>
        <v>0</v>
      </c>
      <c r="U846" s="167">
        <f t="shared" si="219"/>
        <v>0</v>
      </c>
      <c r="V846" s="167">
        <f t="shared" si="220"/>
        <v>0</v>
      </c>
    </row>
    <row r="847" spans="1:22" s="97" customFormat="1" ht="20.100000000000001" customHeight="1">
      <c r="A847" s="222"/>
      <c r="B847" s="243"/>
      <c r="C847" s="239"/>
      <c r="D847" s="239"/>
      <c r="E847" s="240"/>
      <c r="F847" s="240"/>
      <c r="G847" s="240"/>
      <c r="H847" s="240"/>
      <c r="I847" s="240"/>
      <c r="J847" s="240"/>
      <c r="K847" s="243"/>
      <c r="L847" s="239"/>
      <c r="M847" s="239"/>
      <c r="N847" s="240"/>
      <c r="O847" s="240"/>
      <c r="P847" s="240"/>
      <c r="Q847" s="101" t="b">
        <f t="shared" si="215"/>
        <v>1</v>
      </c>
      <c r="R847" s="101" t="b">
        <f t="shared" si="216"/>
        <v>1</v>
      </c>
      <c r="S847" s="101" t="b">
        <f t="shared" si="217"/>
        <v>1</v>
      </c>
      <c r="T847" s="167">
        <f t="shared" si="218"/>
        <v>0</v>
      </c>
      <c r="U847" s="167">
        <f t="shared" si="219"/>
        <v>0</v>
      </c>
      <c r="V847" s="167">
        <f t="shared" si="220"/>
        <v>0</v>
      </c>
    </row>
    <row r="848" spans="1:22" s="101" customFormat="1" ht="20.100000000000001" customHeight="1">
      <c r="A848" s="345"/>
      <c r="B848" s="232" t="s">
        <v>211</v>
      </c>
      <c r="C848" s="233" t="s">
        <v>475</v>
      </c>
      <c r="D848" s="233" t="s">
        <v>90</v>
      </c>
      <c r="E848" s="234">
        <f>E849</f>
        <v>20735.2</v>
      </c>
      <c r="F848" s="234">
        <f>F849</f>
        <v>20735.2</v>
      </c>
      <c r="G848" s="234">
        <f>G849</f>
        <v>20735.2</v>
      </c>
      <c r="H848" s="234">
        <v>20735.2</v>
      </c>
      <c r="I848" s="234">
        <v>20735.2</v>
      </c>
      <c r="J848" s="234">
        <v>20735.2</v>
      </c>
      <c r="K848" s="232" t="s">
        <v>211</v>
      </c>
      <c r="L848" s="233" t="s">
        <v>475</v>
      </c>
      <c r="M848" s="233" t="s">
        <v>90</v>
      </c>
      <c r="N848" s="234">
        <v>20735.2</v>
      </c>
      <c r="O848" s="234">
        <v>20735.2</v>
      </c>
      <c r="P848" s="234">
        <v>20735.2</v>
      </c>
      <c r="Q848" s="101" t="b">
        <f t="shared" si="215"/>
        <v>1</v>
      </c>
      <c r="R848" s="101" t="b">
        <f t="shared" si="216"/>
        <v>1</v>
      </c>
      <c r="S848" s="101" t="b">
        <f t="shared" si="217"/>
        <v>1</v>
      </c>
      <c r="T848" s="167">
        <f t="shared" si="218"/>
        <v>0</v>
      </c>
      <c r="U848" s="167">
        <f t="shared" si="219"/>
        <v>0</v>
      </c>
      <c r="V848" s="167">
        <f t="shared" si="220"/>
        <v>0</v>
      </c>
    </row>
    <row r="849" spans="1:22" s="102" customFormat="1" ht="20.100000000000001" customHeight="1">
      <c r="A849" s="346"/>
      <c r="B849" s="241" t="s">
        <v>476</v>
      </c>
      <c r="C849" s="236" t="s">
        <v>477</v>
      </c>
      <c r="D849" s="236" t="s">
        <v>90</v>
      </c>
      <c r="E849" s="237">
        <f>E850+E853</f>
        <v>20735.2</v>
      </c>
      <c r="F849" s="237">
        <f t="shared" ref="F849:G849" si="222">F850+F853</f>
        <v>20735.2</v>
      </c>
      <c r="G849" s="237">
        <f t="shared" si="222"/>
        <v>20735.2</v>
      </c>
      <c r="H849" s="237">
        <v>20735.2</v>
      </c>
      <c r="I849" s="237">
        <v>20735.2</v>
      </c>
      <c r="J849" s="237">
        <v>20735.2</v>
      </c>
      <c r="K849" s="241" t="s">
        <v>476</v>
      </c>
      <c r="L849" s="236" t="s">
        <v>477</v>
      </c>
      <c r="M849" s="236" t="s">
        <v>90</v>
      </c>
      <c r="N849" s="237">
        <v>20735.2</v>
      </c>
      <c r="O849" s="237">
        <v>20735.2</v>
      </c>
      <c r="P849" s="237">
        <v>20735.2</v>
      </c>
      <c r="Q849" s="101" t="b">
        <f t="shared" si="215"/>
        <v>1</v>
      </c>
      <c r="R849" s="101" t="b">
        <f t="shared" si="216"/>
        <v>1</v>
      </c>
      <c r="S849" s="101" t="b">
        <f t="shared" si="217"/>
        <v>1</v>
      </c>
      <c r="T849" s="167">
        <f t="shared" si="218"/>
        <v>0</v>
      </c>
      <c r="U849" s="167">
        <f t="shared" si="219"/>
        <v>0</v>
      </c>
      <c r="V849" s="167">
        <f t="shared" si="220"/>
        <v>0</v>
      </c>
    </row>
    <row r="850" spans="1:22" s="97" customFormat="1" ht="20.100000000000001" customHeight="1">
      <c r="A850" s="222"/>
      <c r="B850" s="258" t="s">
        <v>151</v>
      </c>
      <c r="C850" s="230" t="s">
        <v>478</v>
      </c>
      <c r="D850" s="230" t="s">
        <v>90</v>
      </c>
      <c r="E850" s="240">
        <f>SUM(E851:E852)</f>
        <v>1422.55</v>
      </c>
      <c r="F850" s="240">
        <f>SUM(F851:F852)</f>
        <v>1422.55</v>
      </c>
      <c r="G850" s="240">
        <f>SUM(G851:G852)</f>
        <v>1422.55</v>
      </c>
      <c r="H850" s="240">
        <v>1422.55</v>
      </c>
      <c r="I850" s="240">
        <v>1422.55</v>
      </c>
      <c r="J850" s="240">
        <v>1422.55</v>
      </c>
      <c r="K850" s="258" t="s">
        <v>151</v>
      </c>
      <c r="L850" s="230" t="s">
        <v>478</v>
      </c>
      <c r="M850" s="230" t="s">
        <v>90</v>
      </c>
      <c r="N850" s="240">
        <v>1422.55</v>
      </c>
      <c r="O850" s="240">
        <v>1422.55</v>
      </c>
      <c r="P850" s="240">
        <v>1422.55</v>
      </c>
      <c r="Q850" s="101" t="b">
        <f t="shared" si="215"/>
        <v>1</v>
      </c>
      <c r="R850" s="101" t="b">
        <f t="shared" si="216"/>
        <v>1</v>
      </c>
      <c r="S850" s="101" t="b">
        <f t="shared" si="217"/>
        <v>1</v>
      </c>
      <c r="T850" s="167">
        <f t="shared" si="218"/>
        <v>0</v>
      </c>
      <c r="U850" s="167">
        <f t="shared" si="219"/>
        <v>0</v>
      </c>
      <c r="V850" s="167">
        <f t="shared" si="220"/>
        <v>0</v>
      </c>
    </row>
    <row r="851" spans="1:22" s="97" customFormat="1" ht="20.100000000000001" customHeight="1">
      <c r="A851" s="222"/>
      <c r="B851" s="180" t="s">
        <v>144</v>
      </c>
      <c r="C851" s="230" t="s">
        <v>478</v>
      </c>
      <c r="D851" s="230" t="s">
        <v>152</v>
      </c>
      <c r="E851" s="240">
        <f>'Вед-я стр-ра'!H1361</f>
        <v>387.25</v>
      </c>
      <c r="F851" s="240">
        <f>'Вед-я стр-ра'!I1361</f>
        <v>387.25</v>
      </c>
      <c r="G851" s="240">
        <f>'Вед-я стр-ра'!J1361</f>
        <v>387.25</v>
      </c>
      <c r="H851" s="240">
        <v>387.25</v>
      </c>
      <c r="I851" s="240">
        <v>387.25</v>
      </c>
      <c r="J851" s="240">
        <v>387.25</v>
      </c>
      <c r="K851" s="180" t="s">
        <v>144</v>
      </c>
      <c r="L851" s="230" t="s">
        <v>478</v>
      </c>
      <c r="M851" s="230" t="s">
        <v>152</v>
      </c>
      <c r="N851" s="240">
        <v>387.25</v>
      </c>
      <c r="O851" s="240">
        <v>387.25</v>
      </c>
      <c r="P851" s="240">
        <v>387.25</v>
      </c>
      <c r="Q851" s="101" t="b">
        <f t="shared" si="215"/>
        <v>1</v>
      </c>
      <c r="R851" s="101" t="b">
        <f t="shared" si="216"/>
        <v>1</v>
      </c>
      <c r="S851" s="101" t="b">
        <f t="shared" si="217"/>
        <v>1</v>
      </c>
      <c r="T851" s="167">
        <f t="shared" si="218"/>
        <v>0</v>
      </c>
      <c r="U851" s="167">
        <f t="shared" si="219"/>
        <v>0</v>
      </c>
      <c r="V851" s="167">
        <f t="shared" si="220"/>
        <v>0</v>
      </c>
    </row>
    <row r="852" spans="1:22" s="97" customFormat="1" ht="20.100000000000001" customHeight="1">
      <c r="A852" s="222"/>
      <c r="B852" s="259" t="s">
        <v>145</v>
      </c>
      <c r="C852" s="230" t="s">
        <v>478</v>
      </c>
      <c r="D852" s="230" t="s">
        <v>153</v>
      </c>
      <c r="E852" s="240">
        <f>'Вед-я стр-ра'!H1362</f>
        <v>1035.3</v>
      </c>
      <c r="F852" s="240">
        <f>'Вед-я стр-ра'!I1362</f>
        <v>1035.3</v>
      </c>
      <c r="G852" s="240">
        <f>'Вед-я стр-ра'!J1362</f>
        <v>1035.3</v>
      </c>
      <c r="H852" s="532">
        <v>1035.3</v>
      </c>
      <c r="I852" s="532">
        <v>1035.3</v>
      </c>
      <c r="J852" s="532">
        <v>1035.3</v>
      </c>
      <c r="K852" s="259" t="s">
        <v>145</v>
      </c>
      <c r="L852" s="230" t="s">
        <v>478</v>
      </c>
      <c r="M852" s="230" t="s">
        <v>153</v>
      </c>
      <c r="N852" s="240">
        <v>1035.3</v>
      </c>
      <c r="O852" s="240">
        <v>1035.3</v>
      </c>
      <c r="P852" s="240">
        <v>1035.3</v>
      </c>
      <c r="Q852" s="101" t="b">
        <f t="shared" si="215"/>
        <v>1</v>
      </c>
      <c r="R852" s="101" t="b">
        <f t="shared" si="216"/>
        <v>1</v>
      </c>
      <c r="S852" s="101" t="b">
        <f t="shared" si="217"/>
        <v>1</v>
      </c>
      <c r="T852" s="167">
        <f t="shared" si="218"/>
        <v>0</v>
      </c>
      <c r="U852" s="167">
        <f t="shared" si="219"/>
        <v>0</v>
      </c>
      <c r="V852" s="167">
        <f t="shared" si="220"/>
        <v>0</v>
      </c>
    </row>
    <row r="853" spans="1:22" s="97" customFormat="1" ht="20.100000000000001" customHeight="1">
      <c r="A853" s="222"/>
      <c r="B853" s="258" t="s">
        <v>161</v>
      </c>
      <c r="C853" s="230" t="s">
        <v>479</v>
      </c>
      <c r="D853" s="230" t="s">
        <v>90</v>
      </c>
      <c r="E853" s="252">
        <f>E854</f>
        <v>19312.650000000001</v>
      </c>
      <c r="F853" s="252">
        <f>F854</f>
        <v>19312.650000000001</v>
      </c>
      <c r="G853" s="252">
        <f>G854</f>
        <v>19312.650000000001</v>
      </c>
      <c r="H853" s="252">
        <v>19312.650000000001</v>
      </c>
      <c r="I853" s="252">
        <v>19312.650000000001</v>
      </c>
      <c r="J853" s="252">
        <v>19312.650000000001</v>
      </c>
      <c r="K853" s="258" t="s">
        <v>161</v>
      </c>
      <c r="L853" s="230" t="s">
        <v>479</v>
      </c>
      <c r="M853" s="230" t="s">
        <v>90</v>
      </c>
      <c r="N853" s="252">
        <v>19312.650000000001</v>
      </c>
      <c r="O853" s="252">
        <v>19312.650000000001</v>
      </c>
      <c r="P853" s="252">
        <v>19312.650000000001</v>
      </c>
      <c r="Q853" s="101" t="b">
        <f t="shared" si="215"/>
        <v>1</v>
      </c>
      <c r="R853" s="101" t="b">
        <f t="shared" si="216"/>
        <v>1</v>
      </c>
      <c r="S853" s="101" t="b">
        <f t="shared" si="217"/>
        <v>1</v>
      </c>
      <c r="T853" s="167">
        <f t="shared" si="218"/>
        <v>0</v>
      </c>
      <c r="U853" s="167">
        <f t="shared" si="219"/>
        <v>0</v>
      </c>
      <c r="V853" s="167">
        <f t="shared" si="220"/>
        <v>0</v>
      </c>
    </row>
    <row r="854" spans="1:22" s="97" customFormat="1" ht="20.100000000000001" customHeight="1">
      <c r="A854" s="222"/>
      <c r="B854" s="180" t="s">
        <v>144</v>
      </c>
      <c r="C854" s="230" t="s">
        <v>479</v>
      </c>
      <c r="D854" s="230" t="s">
        <v>152</v>
      </c>
      <c r="E854" s="240">
        <f>'Вед-я стр-ра'!H1364</f>
        <v>19312.650000000001</v>
      </c>
      <c r="F854" s="240">
        <f>'Вед-я стр-ра'!I1364</f>
        <v>19312.650000000001</v>
      </c>
      <c r="G854" s="240">
        <f>'Вед-я стр-ра'!J1364</f>
        <v>19312.650000000001</v>
      </c>
      <c r="H854" s="240">
        <v>19312.650000000001</v>
      </c>
      <c r="I854" s="240">
        <v>19312.650000000001</v>
      </c>
      <c r="J854" s="240">
        <v>19312.650000000001</v>
      </c>
      <c r="K854" s="180" t="s">
        <v>144</v>
      </c>
      <c r="L854" s="230" t="s">
        <v>479</v>
      </c>
      <c r="M854" s="230" t="s">
        <v>152</v>
      </c>
      <c r="N854" s="240">
        <v>19312.650000000001</v>
      </c>
      <c r="O854" s="240">
        <v>19312.650000000001</v>
      </c>
      <c r="P854" s="240">
        <v>19312.650000000001</v>
      </c>
      <c r="Q854" s="101" t="b">
        <f t="shared" si="215"/>
        <v>1</v>
      </c>
      <c r="R854" s="101" t="b">
        <f t="shared" si="216"/>
        <v>1</v>
      </c>
      <c r="S854" s="101" t="b">
        <f t="shared" si="217"/>
        <v>1</v>
      </c>
      <c r="T854" s="167">
        <f t="shared" si="218"/>
        <v>0</v>
      </c>
      <c r="U854" s="167">
        <f t="shared" si="219"/>
        <v>0</v>
      </c>
      <c r="V854" s="167">
        <f t="shared" si="220"/>
        <v>0</v>
      </c>
    </row>
    <row r="855" spans="1:22" s="97" customFormat="1" ht="20.100000000000001" customHeight="1">
      <c r="A855" s="222"/>
      <c r="B855" s="180"/>
      <c r="C855" s="230"/>
      <c r="D855" s="230"/>
      <c r="E855" s="240"/>
      <c r="F855" s="240"/>
      <c r="G855" s="240"/>
      <c r="H855" s="240"/>
      <c r="I855" s="240"/>
      <c r="J855" s="240"/>
      <c r="K855" s="180"/>
      <c r="L855" s="230"/>
      <c r="M855" s="230"/>
      <c r="N855" s="240"/>
      <c r="O855" s="240"/>
      <c r="P855" s="240"/>
      <c r="Q855" s="101" t="b">
        <f t="shared" si="215"/>
        <v>1</v>
      </c>
      <c r="R855" s="101" t="b">
        <f t="shared" si="216"/>
        <v>1</v>
      </c>
      <c r="S855" s="101" t="b">
        <f t="shared" si="217"/>
        <v>1</v>
      </c>
      <c r="T855" s="167">
        <f t="shared" si="218"/>
        <v>0</v>
      </c>
      <c r="U855" s="167">
        <f t="shared" si="219"/>
        <v>0</v>
      </c>
      <c r="V855" s="167">
        <f t="shared" si="220"/>
        <v>0</v>
      </c>
    </row>
    <row r="856" spans="1:22" s="97" customFormat="1" ht="20.100000000000001" customHeight="1">
      <c r="A856" s="222"/>
      <c r="B856" s="232" t="s">
        <v>639</v>
      </c>
      <c r="C856" s="233" t="s">
        <v>637</v>
      </c>
      <c r="D856" s="233" t="s">
        <v>90</v>
      </c>
      <c r="E856" s="234">
        <f>E857+E864</f>
        <v>20053.249999999996</v>
      </c>
      <c r="F856" s="234">
        <f>F857+F864</f>
        <v>19586.289999999997</v>
      </c>
      <c r="G856" s="234">
        <f>G857+G864</f>
        <v>19604.62</v>
      </c>
      <c r="H856" s="234">
        <v>20053.249999999996</v>
      </c>
      <c r="I856" s="234">
        <v>19586.289999999997</v>
      </c>
      <c r="J856" s="234">
        <v>19604.62</v>
      </c>
      <c r="K856" s="232" t="s">
        <v>639</v>
      </c>
      <c r="L856" s="233" t="s">
        <v>637</v>
      </c>
      <c r="M856" s="233" t="s">
        <v>90</v>
      </c>
      <c r="N856" s="234">
        <v>19568.37</v>
      </c>
      <c r="O856" s="234">
        <v>19586.289999999997</v>
      </c>
      <c r="P856" s="234">
        <v>19604.62</v>
      </c>
      <c r="Q856" s="101" t="b">
        <f t="shared" si="215"/>
        <v>1</v>
      </c>
      <c r="R856" s="101" t="b">
        <f t="shared" si="216"/>
        <v>1</v>
      </c>
      <c r="S856" s="101" t="b">
        <f t="shared" si="217"/>
        <v>1</v>
      </c>
      <c r="T856" s="167">
        <f t="shared" si="218"/>
        <v>484.87999999999738</v>
      </c>
      <c r="U856" s="167">
        <f t="shared" si="219"/>
        <v>0</v>
      </c>
      <c r="V856" s="167">
        <f t="shared" si="220"/>
        <v>0</v>
      </c>
    </row>
    <row r="857" spans="1:22" s="97" customFormat="1" ht="20.100000000000001" customHeight="1">
      <c r="A857" s="222"/>
      <c r="B857" s="241" t="s">
        <v>638</v>
      </c>
      <c r="C857" s="236" t="s">
        <v>635</v>
      </c>
      <c r="D857" s="236" t="s">
        <v>90</v>
      </c>
      <c r="E857" s="237">
        <f>E858+E862</f>
        <v>16450.539999999997</v>
      </c>
      <c r="F857" s="237">
        <f t="shared" ref="F857:G857" si="223">F858+F862</f>
        <v>15983.579999999998</v>
      </c>
      <c r="G857" s="237">
        <f t="shared" si="223"/>
        <v>16001.909999999998</v>
      </c>
      <c r="H857" s="237">
        <v>16450.539999999997</v>
      </c>
      <c r="I857" s="237">
        <v>15983.579999999998</v>
      </c>
      <c r="J857" s="237">
        <v>16001.909999999998</v>
      </c>
      <c r="K857" s="241" t="s">
        <v>638</v>
      </c>
      <c r="L857" s="236" t="s">
        <v>635</v>
      </c>
      <c r="M857" s="236" t="s">
        <v>90</v>
      </c>
      <c r="N857" s="237">
        <v>15965.659999999998</v>
      </c>
      <c r="O857" s="237">
        <v>15983.579999999998</v>
      </c>
      <c r="P857" s="237">
        <v>16001.909999999998</v>
      </c>
      <c r="Q857" s="101" t="b">
        <f t="shared" si="215"/>
        <v>1</v>
      </c>
      <c r="R857" s="101" t="b">
        <f t="shared" si="216"/>
        <v>1</v>
      </c>
      <c r="S857" s="101" t="b">
        <f t="shared" si="217"/>
        <v>1</v>
      </c>
      <c r="T857" s="167">
        <f t="shared" si="218"/>
        <v>484.8799999999992</v>
      </c>
      <c r="U857" s="167">
        <f t="shared" si="219"/>
        <v>0</v>
      </c>
      <c r="V857" s="167">
        <f t="shared" si="220"/>
        <v>0</v>
      </c>
    </row>
    <row r="858" spans="1:22" s="97" customFormat="1" ht="20.100000000000001" customHeight="1">
      <c r="A858" s="222"/>
      <c r="B858" s="180" t="s">
        <v>151</v>
      </c>
      <c r="C858" s="230" t="s">
        <v>636</v>
      </c>
      <c r="D858" s="230" t="s">
        <v>90</v>
      </c>
      <c r="E858" s="240">
        <f>SUM(E859:E861)</f>
        <v>3890.1099999999997</v>
      </c>
      <c r="F858" s="240">
        <f>SUM(F859:F861)</f>
        <v>3423.1499999999992</v>
      </c>
      <c r="G858" s="240">
        <f>SUM(G859:G861)</f>
        <v>3441.48</v>
      </c>
      <c r="H858" s="240">
        <v>3890.1099999999997</v>
      </c>
      <c r="I858" s="240">
        <v>3423.1499999999992</v>
      </c>
      <c r="J858" s="240">
        <v>3441.48</v>
      </c>
      <c r="K858" s="180" t="s">
        <v>151</v>
      </c>
      <c r="L858" s="230" t="s">
        <v>636</v>
      </c>
      <c r="M858" s="230" t="s">
        <v>90</v>
      </c>
      <c r="N858" s="240">
        <v>3405.2299999999996</v>
      </c>
      <c r="O858" s="240">
        <v>3423.1499999999992</v>
      </c>
      <c r="P858" s="240">
        <v>3441.48</v>
      </c>
      <c r="Q858" s="101" t="b">
        <f t="shared" si="215"/>
        <v>1</v>
      </c>
      <c r="R858" s="101" t="b">
        <f t="shared" si="216"/>
        <v>1</v>
      </c>
      <c r="S858" s="101" t="b">
        <f t="shared" si="217"/>
        <v>1</v>
      </c>
      <c r="T858" s="167">
        <f t="shared" si="218"/>
        <v>484.88000000000011</v>
      </c>
      <c r="U858" s="167">
        <f t="shared" si="219"/>
        <v>0</v>
      </c>
      <c r="V858" s="167">
        <f t="shared" si="220"/>
        <v>0</v>
      </c>
    </row>
    <row r="859" spans="1:22" s="97" customFormat="1" ht="20.100000000000001" customHeight="1">
      <c r="A859" s="222"/>
      <c r="B859" s="259" t="s">
        <v>144</v>
      </c>
      <c r="C859" s="230" t="s">
        <v>636</v>
      </c>
      <c r="D859" s="230" t="s">
        <v>152</v>
      </c>
      <c r="E859" s="240">
        <f>'Вед-я стр-ра'!H1372</f>
        <v>477.28</v>
      </c>
      <c r="F859" s="240">
        <f>'Вед-я стр-ра'!I1372</f>
        <v>477.28</v>
      </c>
      <c r="G859" s="240">
        <f>'Вед-я стр-ра'!J1372</f>
        <v>477.28</v>
      </c>
      <c r="H859" s="532">
        <v>477.28</v>
      </c>
      <c r="I859" s="532">
        <v>477.28</v>
      </c>
      <c r="J859" s="532">
        <v>477.28</v>
      </c>
      <c r="K859" s="259" t="s">
        <v>144</v>
      </c>
      <c r="L859" s="230" t="s">
        <v>636</v>
      </c>
      <c r="M859" s="230" t="s">
        <v>152</v>
      </c>
      <c r="N859" s="240">
        <v>477.28</v>
      </c>
      <c r="O859" s="240">
        <v>477.28</v>
      </c>
      <c r="P859" s="240">
        <v>477.28</v>
      </c>
      <c r="Q859" s="101" t="b">
        <f t="shared" si="215"/>
        <v>1</v>
      </c>
      <c r="R859" s="101" t="b">
        <f t="shared" si="216"/>
        <v>1</v>
      </c>
      <c r="S859" s="101" t="b">
        <f t="shared" si="217"/>
        <v>1</v>
      </c>
      <c r="T859" s="167">
        <f t="shared" si="218"/>
        <v>0</v>
      </c>
      <c r="U859" s="167">
        <f t="shared" si="219"/>
        <v>0</v>
      </c>
      <c r="V859" s="167">
        <f t="shared" si="220"/>
        <v>0</v>
      </c>
    </row>
    <row r="860" spans="1:22" s="97" customFormat="1" ht="20.100000000000001" customHeight="1">
      <c r="A860" s="222"/>
      <c r="B860" s="180" t="s">
        <v>145</v>
      </c>
      <c r="C860" s="230" t="s">
        <v>636</v>
      </c>
      <c r="D860" s="230" t="s">
        <v>153</v>
      </c>
      <c r="E860" s="240">
        <f>'Вед-я стр-ра'!H1373</f>
        <v>3379.95</v>
      </c>
      <c r="F860" s="240">
        <f>'Вед-я стр-ра'!I1373</f>
        <v>2912.6899999999996</v>
      </c>
      <c r="G860" s="240">
        <f>'Вед-я стр-ра'!J1373</f>
        <v>2931.02</v>
      </c>
      <c r="H860" s="240">
        <v>3379.95</v>
      </c>
      <c r="I860" s="240">
        <v>2912.6899999999996</v>
      </c>
      <c r="J860" s="240">
        <v>2931.02</v>
      </c>
      <c r="K860" s="180" t="s">
        <v>145</v>
      </c>
      <c r="L860" s="230" t="s">
        <v>636</v>
      </c>
      <c r="M860" s="230" t="s">
        <v>153</v>
      </c>
      <c r="N860" s="240">
        <v>2895.0699999999997</v>
      </c>
      <c r="O860" s="240">
        <v>2912.6899999999996</v>
      </c>
      <c r="P860" s="240">
        <v>2931.02</v>
      </c>
      <c r="Q860" s="101" t="b">
        <f t="shared" si="215"/>
        <v>1</v>
      </c>
      <c r="R860" s="101" t="b">
        <f t="shared" si="216"/>
        <v>1</v>
      </c>
      <c r="S860" s="101" t="b">
        <f t="shared" si="217"/>
        <v>1</v>
      </c>
      <c r="T860" s="167">
        <f t="shared" si="218"/>
        <v>484.88000000000011</v>
      </c>
      <c r="U860" s="167">
        <f t="shared" si="219"/>
        <v>0</v>
      </c>
      <c r="V860" s="167">
        <f t="shared" si="220"/>
        <v>0</v>
      </c>
    </row>
    <row r="861" spans="1:22" s="97" customFormat="1" ht="20.100000000000001" customHeight="1">
      <c r="A861" s="222"/>
      <c r="B861" s="180" t="s">
        <v>137</v>
      </c>
      <c r="C861" s="230" t="s">
        <v>636</v>
      </c>
      <c r="D861" s="230">
        <v>850</v>
      </c>
      <c r="E861" s="240">
        <f>'Вед-я стр-ра'!H1374</f>
        <v>32.879999999999995</v>
      </c>
      <c r="F861" s="240">
        <f>'Вед-я стр-ра'!I1374</f>
        <v>33.18</v>
      </c>
      <c r="G861" s="240">
        <f>'Вед-я стр-ра'!J1374</f>
        <v>33.18</v>
      </c>
      <c r="H861" s="240">
        <v>32.879999999999995</v>
      </c>
      <c r="I861" s="240">
        <v>33.18</v>
      </c>
      <c r="J861" s="240">
        <v>33.18</v>
      </c>
      <c r="K861" s="180" t="s">
        <v>137</v>
      </c>
      <c r="L861" s="230" t="s">
        <v>636</v>
      </c>
      <c r="M861" s="230">
        <v>850</v>
      </c>
      <c r="N861" s="240">
        <v>32.879999999999995</v>
      </c>
      <c r="O861" s="240">
        <v>33.18</v>
      </c>
      <c r="P861" s="240">
        <v>33.18</v>
      </c>
      <c r="Q861" s="101" t="b">
        <f t="shared" si="215"/>
        <v>1</v>
      </c>
      <c r="R861" s="101" t="b">
        <f t="shared" si="216"/>
        <v>1</v>
      </c>
      <c r="S861" s="101" t="b">
        <f t="shared" si="217"/>
        <v>1</v>
      </c>
      <c r="T861" s="167">
        <f t="shared" si="218"/>
        <v>0</v>
      </c>
      <c r="U861" s="167">
        <f t="shared" si="219"/>
        <v>0</v>
      </c>
      <c r="V861" s="167">
        <f t="shared" si="220"/>
        <v>0</v>
      </c>
    </row>
    <row r="862" spans="1:22" s="97" customFormat="1" ht="20.100000000000001" customHeight="1">
      <c r="A862" s="222"/>
      <c r="B862" s="259" t="s">
        <v>161</v>
      </c>
      <c r="C862" s="230" t="s">
        <v>640</v>
      </c>
      <c r="D862" s="230" t="s">
        <v>90</v>
      </c>
      <c r="E862" s="240">
        <f>E863</f>
        <v>12560.429999999998</v>
      </c>
      <c r="F862" s="240">
        <f>F863</f>
        <v>12560.429999999998</v>
      </c>
      <c r="G862" s="240">
        <f>G863</f>
        <v>12560.429999999998</v>
      </c>
      <c r="H862" s="532">
        <v>12560.429999999998</v>
      </c>
      <c r="I862" s="532">
        <v>12560.429999999998</v>
      </c>
      <c r="J862" s="532">
        <v>12560.429999999998</v>
      </c>
      <c r="K862" s="259" t="s">
        <v>161</v>
      </c>
      <c r="L862" s="230" t="s">
        <v>640</v>
      </c>
      <c r="M862" s="230" t="s">
        <v>90</v>
      </c>
      <c r="N862" s="240">
        <v>12560.429999999998</v>
      </c>
      <c r="O862" s="240">
        <v>12560.429999999998</v>
      </c>
      <c r="P862" s="240">
        <v>12560.429999999998</v>
      </c>
      <c r="Q862" s="101" t="b">
        <f t="shared" si="215"/>
        <v>1</v>
      </c>
      <c r="R862" s="101" t="b">
        <f t="shared" si="216"/>
        <v>1</v>
      </c>
      <c r="S862" s="101" t="b">
        <f t="shared" si="217"/>
        <v>1</v>
      </c>
      <c r="T862" s="167">
        <f t="shared" si="218"/>
        <v>0</v>
      </c>
      <c r="U862" s="167">
        <f t="shared" si="219"/>
        <v>0</v>
      </c>
      <c r="V862" s="167">
        <f t="shared" si="220"/>
        <v>0</v>
      </c>
    </row>
    <row r="863" spans="1:22" s="97" customFormat="1" ht="20.100000000000001" customHeight="1">
      <c r="A863" s="222"/>
      <c r="B863" s="180" t="s">
        <v>144</v>
      </c>
      <c r="C863" s="230" t="s">
        <v>640</v>
      </c>
      <c r="D863" s="230" t="s">
        <v>152</v>
      </c>
      <c r="E863" s="240">
        <f>'Вед-я стр-ра'!H1376</f>
        <v>12560.429999999998</v>
      </c>
      <c r="F863" s="240">
        <f>'Вед-я стр-ра'!I1376</f>
        <v>12560.429999999998</v>
      </c>
      <c r="G863" s="240">
        <f>'Вед-я стр-ра'!J1376</f>
        <v>12560.429999999998</v>
      </c>
      <c r="H863" s="240">
        <v>12560.429999999998</v>
      </c>
      <c r="I863" s="240">
        <v>12560.429999999998</v>
      </c>
      <c r="J863" s="240">
        <v>12560.429999999998</v>
      </c>
      <c r="K863" s="180" t="s">
        <v>144</v>
      </c>
      <c r="L863" s="230" t="s">
        <v>640</v>
      </c>
      <c r="M863" s="230" t="s">
        <v>152</v>
      </c>
      <c r="N863" s="240">
        <v>12560.429999999998</v>
      </c>
      <c r="O863" s="240">
        <v>12560.429999999998</v>
      </c>
      <c r="P863" s="240">
        <v>12560.429999999998</v>
      </c>
      <c r="Q863" s="101" t="b">
        <f t="shared" si="215"/>
        <v>1</v>
      </c>
      <c r="R863" s="101" t="b">
        <f t="shared" si="216"/>
        <v>1</v>
      </c>
      <c r="S863" s="101" t="b">
        <f t="shared" si="217"/>
        <v>1</v>
      </c>
      <c r="T863" s="167">
        <f t="shared" si="218"/>
        <v>0</v>
      </c>
      <c r="U863" s="167">
        <f t="shared" si="219"/>
        <v>0</v>
      </c>
      <c r="V863" s="167">
        <f t="shared" si="220"/>
        <v>0</v>
      </c>
    </row>
    <row r="864" spans="1:22" s="97" customFormat="1" ht="20.100000000000001" customHeight="1">
      <c r="A864" s="222"/>
      <c r="B864" s="241" t="s">
        <v>1108</v>
      </c>
      <c r="C864" s="236" t="s">
        <v>1082</v>
      </c>
      <c r="D864" s="236" t="s">
        <v>90</v>
      </c>
      <c r="E864" s="237">
        <f>E865+E867</f>
        <v>3602.71</v>
      </c>
      <c r="F864" s="237">
        <f>F865+F867</f>
        <v>3602.71</v>
      </c>
      <c r="G864" s="237">
        <f>G865+G867</f>
        <v>3602.71</v>
      </c>
      <c r="H864" s="237">
        <v>3602.71</v>
      </c>
      <c r="I864" s="237">
        <v>3602.71</v>
      </c>
      <c r="J864" s="237">
        <v>3602.71</v>
      </c>
      <c r="K864" s="241" t="s">
        <v>1108</v>
      </c>
      <c r="L864" s="236" t="s">
        <v>1082</v>
      </c>
      <c r="M864" s="236" t="s">
        <v>90</v>
      </c>
      <c r="N864" s="237">
        <v>3602.71</v>
      </c>
      <c r="O864" s="237">
        <v>3602.71</v>
      </c>
      <c r="P864" s="237">
        <v>3602.71</v>
      </c>
      <c r="Q864" s="101" t="b">
        <f t="shared" si="215"/>
        <v>1</v>
      </c>
      <c r="R864" s="101" t="b">
        <f t="shared" si="216"/>
        <v>1</v>
      </c>
      <c r="S864" s="101" t="b">
        <f t="shared" si="217"/>
        <v>1</v>
      </c>
      <c r="T864" s="167">
        <f t="shared" si="218"/>
        <v>0</v>
      </c>
      <c r="U864" s="167">
        <f t="shared" si="219"/>
        <v>0</v>
      </c>
      <c r="V864" s="167">
        <f t="shared" si="220"/>
        <v>0</v>
      </c>
    </row>
    <row r="865" spans="1:22" s="97" customFormat="1" ht="20.100000000000001" customHeight="1">
      <c r="A865" s="222"/>
      <c r="B865" s="182" t="s">
        <v>151</v>
      </c>
      <c r="C865" s="37" t="s">
        <v>1083</v>
      </c>
      <c r="D865" s="37" t="s">
        <v>90</v>
      </c>
      <c r="E865" s="183">
        <f>SUM(E866:E866)</f>
        <v>83.1</v>
      </c>
      <c r="F865" s="183">
        <f>SUM(F866:F866)</f>
        <v>83.1</v>
      </c>
      <c r="G865" s="183">
        <f>SUM(G866:G866)</f>
        <v>83.1</v>
      </c>
      <c r="H865" s="183">
        <v>83.1</v>
      </c>
      <c r="I865" s="183">
        <v>83.1</v>
      </c>
      <c r="J865" s="183">
        <v>83.1</v>
      </c>
      <c r="K865" s="182" t="s">
        <v>151</v>
      </c>
      <c r="L865" s="37" t="s">
        <v>1083</v>
      </c>
      <c r="M865" s="37" t="s">
        <v>90</v>
      </c>
      <c r="N865" s="183">
        <v>83.1</v>
      </c>
      <c r="O865" s="183">
        <v>83.1</v>
      </c>
      <c r="P865" s="183">
        <v>83.1</v>
      </c>
      <c r="Q865" s="101" t="b">
        <f t="shared" si="215"/>
        <v>1</v>
      </c>
      <c r="R865" s="101" t="b">
        <f t="shared" si="216"/>
        <v>1</v>
      </c>
      <c r="S865" s="101" t="b">
        <f t="shared" si="217"/>
        <v>1</v>
      </c>
      <c r="T865" s="167">
        <f t="shared" si="218"/>
        <v>0</v>
      </c>
      <c r="U865" s="167">
        <f t="shared" si="219"/>
        <v>0</v>
      </c>
      <c r="V865" s="167">
        <f t="shared" si="220"/>
        <v>0</v>
      </c>
    </row>
    <row r="866" spans="1:22" s="97" customFormat="1" ht="20.100000000000001" customHeight="1">
      <c r="A866" s="222"/>
      <c r="B866" s="182" t="s">
        <v>144</v>
      </c>
      <c r="C866" s="37" t="s">
        <v>1083</v>
      </c>
      <c r="D866" s="37" t="s">
        <v>152</v>
      </c>
      <c r="E866" s="183">
        <f>'Вед-я стр-ра'!H1379</f>
        <v>83.1</v>
      </c>
      <c r="F866" s="183">
        <f>'Вед-я стр-ра'!I1379</f>
        <v>83.1</v>
      </c>
      <c r="G866" s="183">
        <f>'Вед-я стр-ра'!J1379</f>
        <v>83.1</v>
      </c>
      <c r="H866" s="183">
        <v>83.1</v>
      </c>
      <c r="I866" s="183">
        <v>83.1</v>
      </c>
      <c r="J866" s="183">
        <v>83.1</v>
      </c>
      <c r="K866" s="182" t="s">
        <v>144</v>
      </c>
      <c r="L866" s="37" t="s">
        <v>1083</v>
      </c>
      <c r="M866" s="37" t="s">
        <v>152</v>
      </c>
      <c r="N866" s="183">
        <v>83.1</v>
      </c>
      <c r="O866" s="183">
        <v>83.1</v>
      </c>
      <c r="P866" s="183">
        <v>83.1</v>
      </c>
      <c r="Q866" s="101" t="b">
        <f t="shared" si="215"/>
        <v>1</v>
      </c>
      <c r="R866" s="101" t="b">
        <f t="shared" si="216"/>
        <v>1</v>
      </c>
      <c r="S866" s="101" t="b">
        <f t="shared" si="217"/>
        <v>1</v>
      </c>
      <c r="T866" s="167">
        <f t="shared" si="218"/>
        <v>0</v>
      </c>
      <c r="U866" s="167">
        <f t="shared" si="219"/>
        <v>0</v>
      </c>
      <c r="V866" s="167">
        <f t="shared" si="220"/>
        <v>0</v>
      </c>
    </row>
    <row r="867" spans="1:22" s="97" customFormat="1" ht="20.100000000000001" customHeight="1">
      <c r="A867" s="222"/>
      <c r="B867" s="22" t="s">
        <v>161</v>
      </c>
      <c r="C867" s="37" t="s">
        <v>1084</v>
      </c>
      <c r="D867" s="37" t="s">
        <v>90</v>
      </c>
      <c r="E867" s="183">
        <f>E868</f>
        <v>3519.61</v>
      </c>
      <c r="F867" s="183">
        <f>F868</f>
        <v>3519.61</v>
      </c>
      <c r="G867" s="183">
        <f>G868</f>
        <v>3519.61</v>
      </c>
      <c r="H867" s="183">
        <v>3519.61</v>
      </c>
      <c r="I867" s="183">
        <v>3519.61</v>
      </c>
      <c r="J867" s="183">
        <v>3519.61</v>
      </c>
      <c r="K867" s="22" t="s">
        <v>161</v>
      </c>
      <c r="L867" s="37" t="s">
        <v>1084</v>
      </c>
      <c r="M867" s="37" t="s">
        <v>90</v>
      </c>
      <c r="N867" s="183">
        <v>3519.61</v>
      </c>
      <c r="O867" s="183">
        <v>3519.61</v>
      </c>
      <c r="P867" s="183">
        <v>3519.61</v>
      </c>
      <c r="Q867" s="101" t="b">
        <f t="shared" si="215"/>
        <v>1</v>
      </c>
      <c r="R867" s="101" t="b">
        <f t="shared" si="216"/>
        <v>1</v>
      </c>
      <c r="S867" s="101" t="b">
        <f t="shared" si="217"/>
        <v>1</v>
      </c>
      <c r="T867" s="167">
        <f t="shared" si="218"/>
        <v>0</v>
      </c>
      <c r="U867" s="167">
        <f t="shared" si="219"/>
        <v>0</v>
      </c>
      <c r="V867" s="167">
        <f t="shared" si="220"/>
        <v>0</v>
      </c>
    </row>
    <row r="868" spans="1:22" s="97" customFormat="1" ht="20.100000000000001" customHeight="1">
      <c r="A868" s="222"/>
      <c r="B868" s="182" t="s">
        <v>144</v>
      </c>
      <c r="C868" s="37" t="s">
        <v>1084</v>
      </c>
      <c r="D868" s="37" t="s">
        <v>152</v>
      </c>
      <c r="E868" s="183">
        <f>'Вед-я стр-ра'!H1381</f>
        <v>3519.61</v>
      </c>
      <c r="F868" s="183">
        <f>'Вед-я стр-ра'!I1381</f>
        <v>3519.61</v>
      </c>
      <c r="G868" s="183">
        <f>'Вед-я стр-ра'!J1381</f>
        <v>3519.61</v>
      </c>
      <c r="H868" s="183">
        <v>3519.61</v>
      </c>
      <c r="I868" s="183">
        <v>3519.61</v>
      </c>
      <c r="J868" s="183">
        <v>3519.61</v>
      </c>
      <c r="K868" s="182" t="s">
        <v>144</v>
      </c>
      <c r="L868" s="37" t="s">
        <v>1084</v>
      </c>
      <c r="M868" s="37" t="s">
        <v>152</v>
      </c>
      <c r="N868" s="183">
        <v>3519.61</v>
      </c>
      <c r="O868" s="183">
        <v>3519.61</v>
      </c>
      <c r="P868" s="183">
        <v>3519.61</v>
      </c>
      <c r="Q868" s="101" t="b">
        <f t="shared" si="215"/>
        <v>1</v>
      </c>
      <c r="R868" s="101" t="b">
        <f t="shared" si="216"/>
        <v>1</v>
      </c>
      <c r="S868" s="101" t="b">
        <f t="shared" si="217"/>
        <v>1</v>
      </c>
      <c r="T868" s="167">
        <f t="shared" si="218"/>
        <v>0</v>
      </c>
      <c r="U868" s="167">
        <f t="shared" si="219"/>
        <v>0</v>
      </c>
      <c r="V868" s="167">
        <f t="shared" si="220"/>
        <v>0</v>
      </c>
    </row>
    <row r="869" spans="1:22" s="97" customFormat="1" ht="20.100000000000001" customHeight="1">
      <c r="A869" s="222"/>
      <c r="B869" s="180"/>
      <c r="C869" s="230"/>
      <c r="D869" s="230"/>
      <c r="E869" s="240"/>
      <c r="F869" s="240"/>
      <c r="G869" s="240"/>
      <c r="H869" s="240"/>
      <c r="I869" s="240"/>
      <c r="J869" s="240"/>
      <c r="K869" s="180"/>
      <c r="L869" s="230"/>
      <c r="M869" s="230"/>
      <c r="N869" s="240"/>
      <c r="O869" s="240"/>
      <c r="P869" s="240"/>
      <c r="Q869" s="101" t="b">
        <f t="shared" si="215"/>
        <v>1</v>
      </c>
      <c r="R869" s="101" t="b">
        <f t="shared" si="216"/>
        <v>1</v>
      </c>
      <c r="S869" s="101" t="b">
        <f t="shared" si="217"/>
        <v>1</v>
      </c>
      <c r="T869" s="167">
        <f t="shared" si="218"/>
        <v>0</v>
      </c>
      <c r="U869" s="167">
        <f t="shared" si="219"/>
        <v>0</v>
      </c>
      <c r="V869" s="167">
        <f t="shared" si="220"/>
        <v>0</v>
      </c>
    </row>
    <row r="870" spans="1:22" s="97" customFormat="1" ht="20.100000000000001" customHeight="1">
      <c r="A870" s="222"/>
      <c r="B870" s="232" t="s">
        <v>607</v>
      </c>
      <c r="C870" s="233" t="s">
        <v>604</v>
      </c>
      <c r="D870" s="233" t="s">
        <v>90</v>
      </c>
      <c r="E870" s="234">
        <f>E871</f>
        <v>355373.17</v>
      </c>
      <c r="F870" s="234">
        <f>F871</f>
        <v>49641.46</v>
      </c>
      <c r="G870" s="234">
        <f>G871</f>
        <v>24743.740000000009</v>
      </c>
      <c r="H870" s="234">
        <v>360008.83999999997</v>
      </c>
      <c r="I870" s="234">
        <v>56794.21</v>
      </c>
      <c r="J870" s="234">
        <v>31800.350000000006</v>
      </c>
      <c r="K870" s="232" t="s">
        <v>607</v>
      </c>
      <c r="L870" s="233" t="s">
        <v>604</v>
      </c>
      <c r="M870" s="233" t="s">
        <v>90</v>
      </c>
      <c r="N870" s="234">
        <v>169773.76000000004</v>
      </c>
      <c r="O870" s="234">
        <v>74337.47</v>
      </c>
      <c r="P870" s="234">
        <v>32009.300000000003</v>
      </c>
      <c r="Q870" s="101" t="b">
        <f t="shared" si="215"/>
        <v>1</v>
      </c>
      <c r="R870" s="101" t="b">
        <f t="shared" si="216"/>
        <v>1</v>
      </c>
      <c r="S870" s="101" t="b">
        <f t="shared" si="217"/>
        <v>1</v>
      </c>
      <c r="T870" s="167">
        <f t="shared" si="218"/>
        <v>185599.40999999995</v>
      </c>
      <c r="U870" s="167">
        <f t="shared" si="219"/>
        <v>-24696.010000000002</v>
      </c>
      <c r="V870" s="167">
        <f t="shared" si="220"/>
        <v>-7265.559999999994</v>
      </c>
    </row>
    <row r="871" spans="1:22" s="97" customFormat="1" ht="20.100000000000001" customHeight="1">
      <c r="A871" s="222"/>
      <c r="B871" s="241" t="s">
        <v>608</v>
      </c>
      <c r="C871" s="236" t="s">
        <v>605</v>
      </c>
      <c r="D871" s="236" t="s">
        <v>90</v>
      </c>
      <c r="E871" s="237">
        <f>E872+E874+E876+E882+E888+E890+E886+E884+E880+E878</f>
        <v>355373.17</v>
      </c>
      <c r="F871" s="237">
        <f t="shared" ref="F871:G871" si="224">F872+F874+F876+F882+F888+F890+F886+F884+F880+F878</f>
        <v>49641.46</v>
      </c>
      <c r="G871" s="237">
        <f t="shared" si="224"/>
        <v>24743.740000000009</v>
      </c>
      <c r="H871" s="237">
        <v>360008.83999999997</v>
      </c>
      <c r="I871" s="237">
        <v>56794.21</v>
      </c>
      <c r="J871" s="237">
        <v>31800.350000000006</v>
      </c>
      <c r="K871" s="241" t="s">
        <v>608</v>
      </c>
      <c r="L871" s="236" t="s">
        <v>605</v>
      </c>
      <c r="M871" s="236" t="s">
        <v>90</v>
      </c>
      <c r="N871" s="237">
        <v>169773.76000000004</v>
      </c>
      <c r="O871" s="237">
        <v>74337.47</v>
      </c>
      <c r="P871" s="237">
        <v>32009.300000000003</v>
      </c>
      <c r="Q871" s="101" t="b">
        <f t="shared" si="215"/>
        <v>1</v>
      </c>
      <c r="R871" s="101" t="b">
        <f t="shared" si="216"/>
        <v>1</v>
      </c>
      <c r="S871" s="101" t="b">
        <f t="shared" si="217"/>
        <v>1</v>
      </c>
      <c r="T871" s="167">
        <f t="shared" si="218"/>
        <v>185599.40999999995</v>
      </c>
      <c r="U871" s="167">
        <f t="shared" si="219"/>
        <v>-24696.010000000002</v>
      </c>
      <c r="V871" s="167">
        <f t="shared" si="220"/>
        <v>-7265.559999999994</v>
      </c>
    </row>
    <row r="872" spans="1:22" s="97" customFormat="1" ht="20.100000000000001" customHeight="1">
      <c r="A872" s="222"/>
      <c r="B872" s="180" t="s">
        <v>520</v>
      </c>
      <c r="C872" s="230" t="s">
        <v>609</v>
      </c>
      <c r="D872" s="230" t="s">
        <v>90</v>
      </c>
      <c r="E872" s="240">
        <f>E873</f>
        <v>5000</v>
      </c>
      <c r="F872" s="240">
        <f>F873</f>
        <v>5000</v>
      </c>
      <c r="G872" s="240">
        <f>G873</f>
        <v>5000</v>
      </c>
      <c r="H872" s="240">
        <v>5000</v>
      </c>
      <c r="I872" s="240">
        <v>5000</v>
      </c>
      <c r="J872" s="240">
        <v>5000</v>
      </c>
      <c r="K872" s="180" t="s">
        <v>520</v>
      </c>
      <c r="L872" s="230" t="s">
        <v>609</v>
      </c>
      <c r="M872" s="230" t="s">
        <v>90</v>
      </c>
      <c r="N872" s="240">
        <v>5000</v>
      </c>
      <c r="O872" s="240">
        <v>5000</v>
      </c>
      <c r="P872" s="240">
        <v>5000</v>
      </c>
      <c r="Q872" s="101" t="b">
        <f t="shared" si="215"/>
        <v>1</v>
      </c>
      <c r="R872" s="101" t="b">
        <f t="shared" si="216"/>
        <v>1</v>
      </c>
      <c r="S872" s="101" t="b">
        <f t="shared" si="217"/>
        <v>1</v>
      </c>
      <c r="T872" s="167">
        <f t="shared" si="218"/>
        <v>0</v>
      </c>
      <c r="U872" s="167">
        <f t="shared" si="219"/>
        <v>0</v>
      </c>
      <c r="V872" s="167">
        <f t="shared" si="220"/>
        <v>0</v>
      </c>
    </row>
    <row r="873" spans="1:22" s="97" customFormat="1" ht="20.100000000000001" customHeight="1">
      <c r="A873" s="222"/>
      <c r="B873" s="182" t="s">
        <v>138</v>
      </c>
      <c r="C873" s="230" t="s">
        <v>609</v>
      </c>
      <c r="D873" s="230">
        <v>870</v>
      </c>
      <c r="E873" s="240">
        <f>'Вед-я стр-ра'!H227</f>
        <v>5000</v>
      </c>
      <c r="F873" s="240">
        <f>'Вед-я стр-ра'!I227</f>
        <v>5000</v>
      </c>
      <c r="G873" s="240">
        <f>'Вед-я стр-ра'!J227</f>
        <v>5000</v>
      </c>
      <c r="H873" s="240">
        <v>5000</v>
      </c>
      <c r="I873" s="240">
        <v>5000</v>
      </c>
      <c r="J873" s="240">
        <v>5000</v>
      </c>
      <c r="K873" s="182" t="s">
        <v>138</v>
      </c>
      <c r="L873" s="230" t="s">
        <v>609</v>
      </c>
      <c r="M873" s="230">
        <v>870</v>
      </c>
      <c r="N873" s="240">
        <v>5000</v>
      </c>
      <c r="O873" s="240">
        <v>5000</v>
      </c>
      <c r="P873" s="240">
        <v>5000</v>
      </c>
      <c r="Q873" s="101" t="b">
        <f t="shared" si="215"/>
        <v>1</v>
      </c>
      <c r="R873" s="101" t="b">
        <f t="shared" si="216"/>
        <v>1</v>
      </c>
      <c r="S873" s="101" t="b">
        <f t="shared" si="217"/>
        <v>1</v>
      </c>
      <c r="T873" s="167">
        <f t="shared" si="218"/>
        <v>0</v>
      </c>
      <c r="U873" s="167">
        <f t="shared" si="219"/>
        <v>0</v>
      </c>
      <c r="V873" s="167">
        <f t="shared" si="220"/>
        <v>0</v>
      </c>
    </row>
    <row r="874" spans="1:22" s="97" customFormat="1" ht="14.25" customHeight="1">
      <c r="A874" s="222"/>
      <c r="B874" s="182" t="s">
        <v>0</v>
      </c>
      <c r="C874" s="37" t="s">
        <v>784</v>
      </c>
      <c r="D874" s="37" t="s">
        <v>90</v>
      </c>
      <c r="E874" s="240">
        <f>E875</f>
        <v>82232.110000000015</v>
      </c>
      <c r="F874" s="240">
        <f>F875</f>
        <v>28121.78</v>
      </c>
      <c r="G874" s="240">
        <f>G875</f>
        <v>3230.3200000000061</v>
      </c>
      <c r="H874" s="240">
        <v>86867.780000000013</v>
      </c>
      <c r="I874" s="240">
        <v>35274.53</v>
      </c>
      <c r="J874" s="240">
        <v>10286.930000000006</v>
      </c>
      <c r="K874" s="182" t="s">
        <v>0</v>
      </c>
      <c r="L874" s="37" t="s">
        <v>784</v>
      </c>
      <c r="M874" s="37" t="s">
        <v>90</v>
      </c>
      <c r="N874" s="240">
        <v>143896.79</v>
      </c>
      <c r="O874" s="240">
        <v>52817.79</v>
      </c>
      <c r="P874" s="240">
        <v>10495.880000000005</v>
      </c>
      <c r="Q874" s="101" t="b">
        <f t="shared" si="215"/>
        <v>1</v>
      </c>
      <c r="R874" s="101" t="b">
        <f t="shared" si="216"/>
        <v>1</v>
      </c>
      <c r="S874" s="101" t="b">
        <f t="shared" si="217"/>
        <v>1</v>
      </c>
      <c r="T874" s="167">
        <f t="shared" si="218"/>
        <v>-61664.679999999993</v>
      </c>
      <c r="U874" s="167">
        <f t="shared" si="219"/>
        <v>-24696.010000000002</v>
      </c>
      <c r="V874" s="167">
        <f t="shared" si="220"/>
        <v>-7265.5599999999986</v>
      </c>
    </row>
    <row r="875" spans="1:22" s="97" customFormat="1" ht="16.5" customHeight="1">
      <c r="A875" s="222"/>
      <c r="B875" s="182" t="s">
        <v>138</v>
      </c>
      <c r="C875" s="37" t="s">
        <v>784</v>
      </c>
      <c r="D875" s="37" t="s">
        <v>140</v>
      </c>
      <c r="E875" s="240">
        <f>'Вед-я стр-ра'!H222</f>
        <v>82232.110000000015</v>
      </c>
      <c r="F875" s="240">
        <f>'Вед-я стр-ра'!I222</f>
        <v>28121.78</v>
      </c>
      <c r="G875" s="240">
        <f>'Вед-я стр-ра'!J222</f>
        <v>3230.3200000000061</v>
      </c>
      <c r="H875" s="240">
        <v>86867.780000000013</v>
      </c>
      <c r="I875" s="240">
        <v>35274.53</v>
      </c>
      <c r="J875" s="240">
        <v>10286.930000000006</v>
      </c>
      <c r="K875" s="182" t="s">
        <v>138</v>
      </c>
      <c r="L875" s="37" t="s">
        <v>784</v>
      </c>
      <c r="M875" s="37" t="s">
        <v>140</v>
      </c>
      <c r="N875" s="240">
        <v>143896.79</v>
      </c>
      <c r="O875" s="240">
        <v>52817.79</v>
      </c>
      <c r="P875" s="240">
        <v>10495.880000000005</v>
      </c>
      <c r="Q875" s="101" t="b">
        <f t="shared" si="215"/>
        <v>1</v>
      </c>
      <c r="R875" s="101" t="b">
        <f t="shared" si="216"/>
        <v>1</v>
      </c>
      <c r="S875" s="101" t="b">
        <f t="shared" si="217"/>
        <v>1</v>
      </c>
      <c r="T875" s="167">
        <f t="shared" si="218"/>
        <v>-61664.679999999993</v>
      </c>
      <c r="U875" s="167">
        <f t="shared" si="219"/>
        <v>-24696.010000000002</v>
      </c>
      <c r="V875" s="167">
        <f t="shared" si="220"/>
        <v>-7265.5599999999986</v>
      </c>
    </row>
    <row r="876" spans="1:22" s="97" customFormat="1" ht="14.25" customHeight="1">
      <c r="A876" s="222"/>
      <c r="B876" s="182" t="s">
        <v>165</v>
      </c>
      <c r="C876" s="37" t="s">
        <v>846</v>
      </c>
      <c r="D876" s="37" t="s">
        <v>90</v>
      </c>
      <c r="E876" s="183">
        <f>E877</f>
        <v>6744.42</v>
      </c>
      <c r="F876" s="183">
        <f>F877</f>
        <v>2484.42</v>
      </c>
      <c r="G876" s="183">
        <f>G877</f>
        <v>2484.42</v>
      </c>
      <c r="H876" s="183">
        <v>6744.42</v>
      </c>
      <c r="I876" s="183">
        <v>2484.42</v>
      </c>
      <c r="J876" s="183">
        <v>2484.42</v>
      </c>
      <c r="K876" s="182" t="s">
        <v>165</v>
      </c>
      <c r="L876" s="37" t="s">
        <v>846</v>
      </c>
      <c r="M876" s="37" t="s">
        <v>90</v>
      </c>
      <c r="N876" s="183">
        <v>6744.42</v>
      </c>
      <c r="O876" s="183">
        <v>2484.42</v>
      </c>
      <c r="P876" s="183">
        <v>2484.42</v>
      </c>
      <c r="Q876" s="101" t="b">
        <f t="shared" si="215"/>
        <v>1</v>
      </c>
      <c r="R876" s="101" t="b">
        <f t="shared" si="216"/>
        <v>1</v>
      </c>
      <c r="S876" s="101" t="b">
        <f t="shared" si="217"/>
        <v>1</v>
      </c>
      <c r="T876" s="167">
        <f t="shared" si="218"/>
        <v>0</v>
      </c>
      <c r="U876" s="167">
        <f t="shared" si="219"/>
        <v>0</v>
      </c>
      <c r="V876" s="167">
        <f t="shared" si="220"/>
        <v>0</v>
      </c>
    </row>
    <row r="877" spans="1:22" s="97" customFormat="1" ht="18.75" customHeight="1">
      <c r="A877" s="222"/>
      <c r="B877" s="182" t="s">
        <v>136</v>
      </c>
      <c r="C877" s="37" t="s">
        <v>846</v>
      </c>
      <c r="D877" s="37" t="s">
        <v>166</v>
      </c>
      <c r="E877" s="183">
        <f>'Вед-я стр-ра'!H229</f>
        <v>6744.42</v>
      </c>
      <c r="F877" s="183">
        <f>'Вед-я стр-ра'!I229</f>
        <v>2484.42</v>
      </c>
      <c r="G877" s="183">
        <f>'Вед-я стр-ра'!J229</f>
        <v>2484.42</v>
      </c>
      <c r="H877" s="183">
        <v>6744.42</v>
      </c>
      <c r="I877" s="183">
        <v>2484.42</v>
      </c>
      <c r="J877" s="183">
        <v>2484.42</v>
      </c>
      <c r="K877" s="182" t="s">
        <v>136</v>
      </c>
      <c r="L877" s="37" t="s">
        <v>846</v>
      </c>
      <c r="M877" s="37" t="s">
        <v>166</v>
      </c>
      <c r="N877" s="183">
        <v>6744.42</v>
      </c>
      <c r="O877" s="183">
        <v>2484.42</v>
      </c>
      <c r="P877" s="183">
        <v>2484.42</v>
      </c>
      <c r="Q877" s="101" t="b">
        <f t="shared" si="215"/>
        <v>1</v>
      </c>
      <c r="R877" s="101" t="b">
        <f t="shared" si="216"/>
        <v>1</v>
      </c>
      <c r="S877" s="101" t="b">
        <f t="shared" si="217"/>
        <v>1</v>
      </c>
      <c r="T877" s="167">
        <f t="shared" si="218"/>
        <v>0</v>
      </c>
      <c r="U877" s="167">
        <f t="shared" si="219"/>
        <v>0</v>
      </c>
      <c r="V877" s="167">
        <f t="shared" si="220"/>
        <v>0</v>
      </c>
    </row>
    <row r="878" spans="1:22" s="97" customFormat="1" ht="18.75" customHeight="1">
      <c r="A878" s="222"/>
      <c r="B878" s="521" t="s">
        <v>1260</v>
      </c>
      <c r="C878" s="37" t="s">
        <v>1261</v>
      </c>
      <c r="D878" s="37" t="s">
        <v>90</v>
      </c>
      <c r="E878" s="183">
        <f t="shared" ref="E878" si="225">E879</f>
        <v>226492.41999999998</v>
      </c>
      <c r="F878" s="183">
        <f t="shared" ref="F878" si="226">F879</f>
        <v>0</v>
      </c>
      <c r="G878" s="183">
        <f t="shared" ref="G878" si="227">G879</f>
        <v>0</v>
      </c>
      <c r="H878" s="183">
        <v>226492.41999999998</v>
      </c>
      <c r="I878" s="183">
        <v>0</v>
      </c>
      <c r="J878" s="183">
        <v>0</v>
      </c>
      <c r="K878" s="182"/>
      <c r="L878" s="37"/>
      <c r="M878" s="37"/>
      <c r="N878" s="183"/>
      <c r="O878" s="183"/>
      <c r="P878" s="183"/>
      <c r="Q878" s="101"/>
      <c r="R878" s="101"/>
      <c r="S878" s="101"/>
      <c r="T878" s="167"/>
      <c r="U878" s="167"/>
      <c r="V878" s="167"/>
    </row>
    <row r="879" spans="1:22" s="97" customFormat="1" ht="18.75" customHeight="1">
      <c r="A879" s="222"/>
      <c r="B879" s="522" t="s">
        <v>216</v>
      </c>
      <c r="C879" s="112" t="s">
        <v>1261</v>
      </c>
      <c r="D879" s="112" t="s">
        <v>141</v>
      </c>
      <c r="E879" s="113">
        <f>'Вед-я стр-ра'!H191</f>
        <v>226492.41999999998</v>
      </c>
      <c r="F879" s="113">
        <f>'Вед-я стр-ра'!I191</f>
        <v>0</v>
      </c>
      <c r="G879" s="113">
        <f>'Вед-я стр-ра'!J191</f>
        <v>0</v>
      </c>
      <c r="H879" s="113">
        <v>226492.41999999998</v>
      </c>
      <c r="I879" s="113">
        <v>0</v>
      </c>
      <c r="J879" s="113">
        <v>0</v>
      </c>
      <c r="K879" s="182"/>
      <c r="L879" s="37"/>
      <c r="M879" s="37"/>
      <c r="N879" s="183"/>
      <c r="O879" s="183"/>
      <c r="P879" s="183"/>
      <c r="Q879" s="101"/>
      <c r="R879" s="101"/>
      <c r="S879" s="101"/>
      <c r="T879" s="167"/>
      <c r="U879" s="167"/>
      <c r="V879" s="167"/>
    </row>
    <row r="880" spans="1:22" s="97" customFormat="1" ht="18.75" customHeight="1">
      <c r="A880" s="222"/>
      <c r="B880" s="54" t="s">
        <v>1254</v>
      </c>
      <c r="C880" s="57" t="s">
        <v>1255</v>
      </c>
      <c r="D880" s="57" t="s">
        <v>90</v>
      </c>
      <c r="E880" s="58">
        <f>E881</f>
        <v>20771.669999999998</v>
      </c>
      <c r="F880" s="183"/>
      <c r="G880" s="183"/>
      <c r="H880" s="183">
        <v>20771.669999999998</v>
      </c>
      <c r="I880" s="183"/>
      <c r="J880" s="183"/>
      <c r="K880" s="182"/>
      <c r="L880" s="37"/>
      <c r="M880" s="37"/>
      <c r="N880" s="183"/>
      <c r="O880" s="183"/>
      <c r="P880" s="183"/>
      <c r="Q880" s="101"/>
      <c r="R880" s="101"/>
      <c r="S880" s="101"/>
      <c r="T880" s="167"/>
      <c r="U880" s="167"/>
      <c r="V880" s="167"/>
    </row>
    <row r="881" spans="1:22" s="97" customFormat="1" ht="18.75" customHeight="1">
      <c r="A881" s="222"/>
      <c r="B881" s="54" t="s">
        <v>137</v>
      </c>
      <c r="C881" s="57" t="s">
        <v>1255</v>
      </c>
      <c r="D881" s="57" t="s">
        <v>155</v>
      </c>
      <c r="E881" s="58">
        <f>'Вед-я стр-ра'!H1119</f>
        <v>20771.669999999998</v>
      </c>
      <c r="F881" s="183"/>
      <c r="G881" s="183"/>
      <c r="H881" s="183">
        <v>20771.669999999998</v>
      </c>
      <c r="I881" s="183"/>
      <c r="J881" s="183"/>
      <c r="K881" s="182"/>
      <c r="L881" s="37"/>
      <c r="M881" s="37"/>
      <c r="N881" s="183"/>
      <c r="O881" s="183"/>
      <c r="P881" s="183"/>
      <c r="Q881" s="101"/>
      <c r="R881" s="101"/>
      <c r="S881" s="101"/>
      <c r="T881" s="167"/>
      <c r="U881" s="167"/>
      <c r="V881" s="167"/>
    </row>
    <row r="882" spans="1:22" ht="20.100000000000001" customHeight="1">
      <c r="B882" s="413" t="s">
        <v>997</v>
      </c>
      <c r="C882" s="37" t="s">
        <v>996</v>
      </c>
      <c r="D882" s="37" t="s">
        <v>90</v>
      </c>
      <c r="E882" s="183">
        <f>E883</f>
        <v>2100</v>
      </c>
      <c r="F882" s="183">
        <f>F883</f>
        <v>2100</v>
      </c>
      <c r="G882" s="183">
        <f>G883</f>
        <v>2100</v>
      </c>
      <c r="H882" s="183">
        <v>2100</v>
      </c>
      <c r="I882" s="183">
        <v>2100</v>
      </c>
      <c r="J882" s="183">
        <v>2100</v>
      </c>
      <c r="K882" s="413" t="s">
        <v>997</v>
      </c>
      <c r="L882" s="37" t="s">
        <v>996</v>
      </c>
      <c r="M882" s="37" t="s">
        <v>90</v>
      </c>
      <c r="N882" s="183">
        <v>2100</v>
      </c>
      <c r="O882" s="183">
        <v>2100</v>
      </c>
      <c r="P882" s="183">
        <v>2100</v>
      </c>
      <c r="Q882" s="101" t="b">
        <f t="shared" si="215"/>
        <v>1</v>
      </c>
      <c r="R882" s="101" t="b">
        <f t="shared" si="216"/>
        <v>1</v>
      </c>
      <c r="S882" s="101" t="b">
        <f t="shared" si="217"/>
        <v>1</v>
      </c>
      <c r="T882" s="167">
        <f t="shared" si="218"/>
        <v>0</v>
      </c>
      <c r="U882" s="167">
        <f t="shared" si="219"/>
        <v>0</v>
      </c>
      <c r="V882" s="167">
        <f t="shared" si="220"/>
        <v>0</v>
      </c>
    </row>
    <row r="883" spans="1:22" ht="20.100000000000001" customHeight="1">
      <c r="B883" s="182" t="s">
        <v>145</v>
      </c>
      <c r="C883" s="37" t="s">
        <v>996</v>
      </c>
      <c r="D883" s="37" t="s">
        <v>153</v>
      </c>
      <c r="E883" s="183">
        <f>'Вед-я стр-ра'!H925+'Вед-я стр-ра'!H1059+'Вед-я стр-ра'!H995</f>
        <v>2100</v>
      </c>
      <c r="F883" s="183">
        <f>'Вед-я стр-ра'!I925+'Вед-я стр-ра'!I1059+'Вед-я стр-ра'!I995</f>
        <v>2100</v>
      </c>
      <c r="G883" s="183">
        <f>'Вед-я стр-ра'!J925+'Вед-я стр-ра'!J1059+'Вед-я стр-ра'!J995</f>
        <v>2100</v>
      </c>
      <c r="H883" s="183">
        <v>2100</v>
      </c>
      <c r="I883" s="183">
        <v>2100</v>
      </c>
      <c r="J883" s="183">
        <v>2100</v>
      </c>
      <c r="K883" s="182" t="s">
        <v>145</v>
      </c>
      <c r="L883" s="37" t="s">
        <v>996</v>
      </c>
      <c r="M883" s="37" t="s">
        <v>153</v>
      </c>
      <c r="N883" s="183">
        <v>2100</v>
      </c>
      <c r="O883" s="183">
        <v>2100</v>
      </c>
      <c r="P883" s="183">
        <v>2100</v>
      </c>
      <c r="Q883" s="101" t="b">
        <f t="shared" si="215"/>
        <v>1</v>
      </c>
      <c r="R883" s="101" t="b">
        <f t="shared" si="216"/>
        <v>1</v>
      </c>
      <c r="S883" s="101" t="b">
        <f t="shared" si="217"/>
        <v>1</v>
      </c>
      <c r="T883" s="167">
        <f t="shared" si="218"/>
        <v>0</v>
      </c>
      <c r="U883" s="167">
        <f t="shared" si="219"/>
        <v>0</v>
      </c>
      <c r="V883" s="167">
        <f t="shared" si="220"/>
        <v>0</v>
      </c>
    </row>
    <row r="884" spans="1:22" ht="20.100000000000001" customHeight="1">
      <c r="B884" s="182" t="s">
        <v>1153</v>
      </c>
      <c r="C884" s="37" t="s">
        <v>1154</v>
      </c>
      <c r="D884" s="37" t="s">
        <v>90</v>
      </c>
      <c r="E884" s="183">
        <f>E885</f>
        <v>100</v>
      </c>
      <c r="F884" s="183">
        <f t="shared" ref="F884:G884" si="228">F885</f>
        <v>0</v>
      </c>
      <c r="G884" s="183">
        <f t="shared" si="228"/>
        <v>0</v>
      </c>
      <c r="H884" s="183">
        <v>100</v>
      </c>
      <c r="I884" s="183">
        <v>0</v>
      </c>
      <c r="J884" s="183">
        <v>0</v>
      </c>
      <c r="K884" s="182" t="s">
        <v>1153</v>
      </c>
      <c r="L884" s="37" t="s">
        <v>1154</v>
      </c>
      <c r="M884" s="37" t="s">
        <v>90</v>
      </c>
      <c r="N884" s="183">
        <v>100</v>
      </c>
      <c r="O884" s="183">
        <v>0</v>
      </c>
      <c r="P884" s="183">
        <v>0</v>
      </c>
      <c r="Q884" s="101" t="b">
        <f t="shared" si="215"/>
        <v>1</v>
      </c>
      <c r="R884" s="101" t="b">
        <f t="shared" si="216"/>
        <v>1</v>
      </c>
      <c r="S884" s="101" t="b">
        <f t="shared" si="217"/>
        <v>1</v>
      </c>
      <c r="T884" s="167">
        <f t="shared" si="218"/>
        <v>0</v>
      </c>
      <c r="U884" s="167">
        <f t="shared" si="219"/>
        <v>0</v>
      </c>
      <c r="V884" s="167">
        <f t="shared" si="220"/>
        <v>0</v>
      </c>
    </row>
    <row r="885" spans="1:22" ht="20.100000000000001" customHeight="1">
      <c r="B885" s="182" t="s">
        <v>1155</v>
      </c>
      <c r="C885" s="37" t="s">
        <v>1154</v>
      </c>
      <c r="D885" s="37" t="s">
        <v>1156</v>
      </c>
      <c r="E885" s="183">
        <f>'Вед-я стр-ра'!H664</f>
        <v>100</v>
      </c>
      <c r="F885" s="183">
        <f>'Вед-я стр-ра'!I664</f>
        <v>0</v>
      </c>
      <c r="G885" s="183">
        <f>'Вед-я стр-ра'!J664</f>
        <v>0</v>
      </c>
      <c r="H885" s="183">
        <v>100</v>
      </c>
      <c r="I885" s="183">
        <v>0</v>
      </c>
      <c r="J885" s="183">
        <v>0</v>
      </c>
      <c r="K885" s="182" t="s">
        <v>1155</v>
      </c>
      <c r="L885" s="37" t="s">
        <v>1154</v>
      </c>
      <c r="M885" s="37" t="s">
        <v>1156</v>
      </c>
      <c r="N885" s="183">
        <v>100</v>
      </c>
      <c r="O885" s="183">
        <v>0</v>
      </c>
      <c r="P885" s="183">
        <v>0</v>
      </c>
      <c r="Q885" s="101" t="b">
        <f t="shared" si="215"/>
        <v>1</v>
      </c>
      <c r="R885" s="101" t="b">
        <f t="shared" si="216"/>
        <v>1</v>
      </c>
      <c r="S885" s="101" t="b">
        <f t="shared" si="217"/>
        <v>1</v>
      </c>
      <c r="T885" s="167">
        <f t="shared" si="218"/>
        <v>0</v>
      </c>
      <c r="U885" s="167">
        <f t="shared" si="219"/>
        <v>0</v>
      </c>
      <c r="V885" s="167">
        <f t="shared" si="220"/>
        <v>0</v>
      </c>
    </row>
    <row r="886" spans="1:22" ht="20.100000000000001" customHeight="1">
      <c r="B886" s="182" t="s">
        <v>867</v>
      </c>
      <c r="C886" s="37" t="s">
        <v>1018</v>
      </c>
      <c r="D886" s="37" t="s">
        <v>90</v>
      </c>
      <c r="E886" s="183">
        <f t="shared" ref="E886:G886" si="229">E887</f>
        <v>9.9</v>
      </c>
      <c r="F886" s="183">
        <f t="shared" si="229"/>
        <v>9.9</v>
      </c>
      <c r="G886" s="183">
        <f t="shared" si="229"/>
        <v>9.9</v>
      </c>
      <c r="H886" s="183">
        <v>9.9</v>
      </c>
      <c r="I886" s="183">
        <v>9.9</v>
      </c>
      <c r="J886" s="183">
        <v>9.9</v>
      </c>
      <c r="K886" s="182" t="s">
        <v>867</v>
      </c>
      <c r="L886" s="37" t="s">
        <v>1018</v>
      </c>
      <c r="M886" s="37" t="s">
        <v>90</v>
      </c>
      <c r="N886" s="183">
        <v>9.9</v>
      </c>
      <c r="O886" s="183">
        <v>9.9</v>
      </c>
      <c r="P886" s="183">
        <v>9.9</v>
      </c>
      <c r="Q886" s="101" t="b">
        <f t="shared" si="215"/>
        <v>1</v>
      </c>
      <c r="R886" s="101" t="b">
        <f t="shared" si="216"/>
        <v>1</v>
      </c>
      <c r="S886" s="101" t="b">
        <f t="shared" si="217"/>
        <v>1</v>
      </c>
      <c r="T886" s="167">
        <f t="shared" si="218"/>
        <v>0</v>
      </c>
      <c r="U886" s="167">
        <f t="shared" si="219"/>
        <v>0</v>
      </c>
      <c r="V886" s="167">
        <f t="shared" si="220"/>
        <v>0</v>
      </c>
    </row>
    <row r="887" spans="1:22" ht="20.100000000000001" customHeight="1">
      <c r="B887" s="182" t="s">
        <v>145</v>
      </c>
      <c r="C887" s="37" t="s">
        <v>1018</v>
      </c>
      <c r="D887" s="37" t="s">
        <v>153</v>
      </c>
      <c r="E887" s="183">
        <f>'Вед-я стр-ра'!H278</f>
        <v>9.9</v>
      </c>
      <c r="F887" s="183">
        <f>'Вед-я стр-ра'!I278</f>
        <v>9.9</v>
      </c>
      <c r="G887" s="183">
        <f>'Вед-я стр-ра'!J278</f>
        <v>9.9</v>
      </c>
      <c r="H887" s="183">
        <v>9.9</v>
      </c>
      <c r="I887" s="183">
        <v>9.9</v>
      </c>
      <c r="J887" s="183">
        <v>9.9</v>
      </c>
      <c r="K887" s="182" t="s">
        <v>145</v>
      </c>
      <c r="L887" s="37" t="s">
        <v>1018</v>
      </c>
      <c r="M887" s="37" t="s">
        <v>153</v>
      </c>
      <c r="N887" s="183">
        <v>9.9</v>
      </c>
      <c r="O887" s="183">
        <v>9.9</v>
      </c>
      <c r="P887" s="183">
        <v>9.9</v>
      </c>
      <c r="Q887" s="101" t="b">
        <f t="shared" si="215"/>
        <v>1</v>
      </c>
      <c r="R887" s="101" t="b">
        <f t="shared" si="216"/>
        <v>1</v>
      </c>
      <c r="S887" s="101" t="b">
        <f t="shared" si="217"/>
        <v>1</v>
      </c>
      <c r="T887" s="167">
        <f t="shared" si="218"/>
        <v>0</v>
      </c>
      <c r="U887" s="167">
        <f t="shared" si="219"/>
        <v>0</v>
      </c>
      <c r="V887" s="167">
        <f t="shared" si="220"/>
        <v>0</v>
      </c>
    </row>
    <row r="888" spans="1:22" ht="20.100000000000001" customHeight="1">
      <c r="A888" s="348" t="s">
        <v>800</v>
      </c>
      <c r="B888" s="178" t="s">
        <v>764</v>
      </c>
      <c r="C888" s="230" t="s">
        <v>606</v>
      </c>
      <c r="D888" s="230" t="s">
        <v>90</v>
      </c>
      <c r="E888" s="240">
        <f>E889</f>
        <v>56.23</v>
      </c>
      <c r="F888" s="240">
        <f>F889</f>
        <v>58.94</v>
      </c>
      <c r="G888" s="240">
        <f>G889</f>
        <v>52.68</v>
      </c>
      <c r="H888" s="240">
        <v>56.23</v>
      </c>
      <c r="I888" s="240">
        <v>58.94</v>
      </c>
      <c r="J888" s="240">
        <v>52.68</v>
      </c>
      <c r="K888" s="178" t="s">
        <v>764</v>
      </c>
      <c r="L888" s="230" t="s">
        <v>606</v>
      </c>
      <c r="M888" s="230" t="s">
        <v>90</v>
      </c>
      <c r="N888" s="240">
        <v>56.23</v>
      </c>
      <c r="O888" s="240">
        <v>58.94</v>
      </c>
      <c r="P888" s="240">
        <v>52.68</v>
      </c>
      <c r="Q888" s="101" t="b">
        <f t="shared" si="215"/>
        <v>1</v>
      </c>
      <c r="R888" s="101" t="b">
        <f t="shared" si="216"/>
        <v>1</v>
      </c>
      <c r="S888" s="101" t="b">
        <f t="shared" si="217"/>
        <v>1</v>
      </c>
      <c r="T888" s="167">
        <f t="shared" si="218"/>
        <v>0</v>
      </c>
      <c r="U888" s="167">
        <f t="shared" si="219"/>
        <v>0</v>
      </c>
      <c r="V888" s="167">
        <f t="shared" si="220"/>
        <v>0</v>
      </c>
    </row>
    <row r="889" spans="1:22" s="97" customFormat="1" ht="20.100000000000001" customHeight="1">
      <c r="A889" s="222"/>
      <c r="B889" s="180" t="s">
        <v>145</v>
      </c>
      <c r="C889" s="230" t="s">
        <v>606</v>
      </c>
      <c r="D889" s="230" t="s">
        <v>153</v>
      </c>
      <c r="E889" s="240">
        <f>'Вед-я стр-ра'!H64</f>
        <v>56.23</v>
      </c>
      <c r="F889" s="240">
        <f>'Вед-я стр-ра'!I64</f>
        <v>58.94</v>
      </c>
      <c r="G889" s="240">
        <f>'Вед-я стр-ра'!J64</f>
        <v>52.68</v>
      </c>
      <c r="H889" s="240">
        <v>56.23</v>
      </c>
      <c r="I889" s="240">
        <v>58.94</v>
      </c>
      <c r="J889" s="240">
        <v>52.68</v>
      </c>
      <c r="K889" s="180" t="s">
        <v>145</v>
      </c>
      <c r="L889" s="230" t="s">
        <v>606</v>
      </c>
      <c r="M889" s="230" t="s">
        <v>153</v>
      </c>
      <c r="N889" s="240">
        <v>56.23</v>
      </c>
      <c r="O889" s="240">
        <v>58.94</v>
      </c>
      <c r="P889" s="240">
        <v>52.68</v>
      </c>
      <c r="Q889" s="101" t="b">
        <f t="shared" si="215"/>
        <v>1</v>
      </c>
      <c r="R889" s="101" t="b">
        <f t="shared" si="216"/>
        <v>1</v>
      </c>
      <c r="S889" s="101" t="b">
        <f t="shared" si="217"/>
        <v>1</v>
      </c>
      <c r="T889" s="167">
        <f t="shared" si="218"/>
        <v>0</v>
      </c>
      <c r="U889" s="167">
        <f t="shared" si="219"/>
        <v>0</v>
      </c>
      <c r="V889" s="167">
        <f t="shared" si="220"/>
        <v>0</v>
      </c>
    </row>
    <row r="890" spans="1:22" s="97" customFormat="1" ht="20.100000000000001" customHeight="1">
      <c r="A890" s="222" t="s">
        <v>799</v>
      </c>
      <c r="B890" s="180" t="s">
        <v>267</v>
      </c>
      <c r="C890" s="230" t="s">
        <v>677</v>
      </c>
      <c r="D890" s="230" t="s">
        <v>90</v>
      </c>
      <c r="E890" s="240">
        <f>E891+E892</f>
        <v>11866.42</v>
      </c>
      <c r="F890" s="240">
        <f>F891+F892</f>
        <v>11866.42</v>
      </c>
      <c r="G890" s="240">
        <f>G891+G892</f>
        <v>11866.42</v>
      </c>
      <c r="H890" s="240">
        <v>11866.42</v>
      </c>
      <c r="I890" s="240">
        <v>11866.42</v>
      </c>
      <c r="J890" s="240">
        <v>11866.42</v>
      </c>
      <c r="K890" s="180" t="s">
        <v>267</v>
      </c>
      <c r="L890" s="230" t="s">
        <v>677</v>
      </c>
      <c r="M890" s="230" t="s">
        <v>90</v>
      </c>
      <c r="N890" s="240">
        <v>11866.42</v>
      </c>
      <c r="O890" s="240">
        <v>11866.42</v>
      </c>
      <c r="P890" s="240">
        <v>11866.42</v>
      </c>
      <c r="Q890" s="101" t="b">
        <f t="shared" si="215"/>
        <v>1</v>
      </c>
      <c r="R890" s="101" t="b">
        <f t="shared" si="216"/>
        <v>1</v>
      </c>
      <c r="S890" s="101" t="b">
        <f t="shared" si="217"/>
        <v>1</v>
      </c>
      <c r="T890" s="167">
        <f t="shared" si="218"/>
        <v>0</v>
      </c>
      <c r="U890" s="167">
        <f t="shared" si="219"/>
        <v>0</v>
      </c>
      <c r="V890" s="167">
        <f t="shared" si="220"/>
        <v>0</v>
      </c>
    </row>
    <row r="891" spans="1:22" s="97" customFormat="1" ht="20.100000000000001" customHeight="1">
      <c r="A891" s="222"/>
      <c r="B891" s="180" t="s">
        <v>144</v>
      </c>
      <c r="C891" s="230" t="s">
        <v>677</v>
      </c>
      <c r="D891" s="230" t="s">
        <v>152</v>
      </c>
      <c r="E891" s="240">
        <f>'Вед-я стр-ра'!H123</f>
        <v>11566.42</v>
      </c>
      <c r="F891" s="240">
        <f>'Вед-я стр-ра'!I123</f>
        <v>11566.42</v>
      </c>
      <c r="G891" s="240">
        <f>'Вед-я стр-ра'!J123</f>
        <v>11566.42</v>
      </c>
      <c r="H891" s="240">
        <v>11566.42</v>
      </c>
      <c r="I891" s="240">
        <v>11566.42</v>
      </c>
      <c r="J891" s="240">
        <v>11566.42</v>
      </c>
      <c r="K891" s="180" t="s">
        <v>144</v>
      </c>
      <c r="L891" s="230" t="s">
        <v>677</v>
      </c>
      <c r="M891" s="230" t="s">
        <v>152</v>
      </c>
      <c r="N891" s="240">
        <v>11566.42</v>
      </c>
      <c r="O891" s="240">
        <v>11566.42</v>
      </c>
      <c r="P891" s="240">
        <v>11566.42</v>
      </c>
      <c r="Q891" s="101" t="b">
        <f t="shared" si="215"/>
        <v>1</v>
      </c>
      <c r="R891" s="101" t="b">
        <f t="shared" si="216"/>
        <v>1</v>
      </c>
      <c r="S891" s="101" t="b">
        <f t="shared" si="217"/>
        <v>1</v>
      </c>
      <c r="T891" s="167">
        <f t="shared" si="218"/>
        <v>0</v>
      </c>
      <c r="U891" s="167">
        <f t="shared" si="219"/>
        <v>0</v>
      </c>
      <c r="V891" s="167">
        <f t="shared" si="220"/>
        <v>0</v>
      </c>
    </row>
    <row r="892" spans="1:22" s="97" customFormat="1" ht="20.100000000000001" customHeight="1">
      <c r="A892" s="222"/>
      <c r="B892" s="182" t="s">
        <v>145</v>
      </c>
      <c r="C892" s="57" t="s">
        <v>677</v>
      </c>
      <c r="D892" s="57" t="s">
        <v>153</v>
      </c>
      <c r="E892" s="183">
        <f>'Вед-я стр-ра'!H124</f>
        <v>300</v>
      </c>
      <c r="F892" s="183">
        <f>'Вед-я стр-ра'!I124</f>
        <v>300</v>
      </c>
      <c r="G892" s="183">
        <f>'Вед-я стр-ра'!J124</f>
        <v>300</v>
      </c>
      <c r="H892" s="183">
        <v>300</v>
      </c>
      <c r="I892" s="183">
        <v>300</v>
      </c>
      <c r="J892" s="183">
        <v>300</v>
      </c>
      <c r="K892" s="182" t="s">
        <v>145</v>
      </c>
      <c r="L892" s="57" t="s">
        <v>677</v>
      </c>
      <c r="M892" s="57" t="s">
        <v>153</v>
      </c>
      <c r="N892" s="183">
        <v>300</v>
      </c>
      <c r="O892" s="183">
        <v>300</v>
      </c>
      <c r="P892" s="183">
        <v>300</v>
      </c>
      <c r="Q892" s="101" t="b">
        <f t="shared" si="215"/>
        <v>1</v>
      </c>
      <c r="R892" s="101" t="b">
        <f t="shared" si="216"/>
        <v>1</v>
      </c>
      <c r="S892" s="101" t="b">
        <f t="shared" si="217"/>
        <v>1</v>
      </c>
      <c r="T892" s="167">
        <f t="shared" si="218"/>
        <v>0</v>
      </c>
      <c r="U892" s="167">
        <f t="shared" si="219"/>
        <v>0</v>
      </c>
      <c r="V892" s="167">
        <f t="shared" si="220"/>
        <v>0</v>
      </c>
    </row>
    <row r="893" spans="1:22" s="97" customFormat="1" ht="20.100000000000001" customHeight="1">
      <c r="A893" s="222"/>
      <c r="B893" s="182"/>
      <c r="C893" s="57"/>
      <c r="D893" s="57"/>
      <c r="E893" s="183"/>
      <c r="F893" s="183"/>
      <c r="G893" s="183"/>
      <c r="H893" s="183"/>
      <c r="I893" s="183"/>
      <c r="J893" s="183"/>
      <c r="K893" s="182"/>
      <c r="L893" s="57"/>
      <c r="M893" s="57"/>
      <c r="N893" s="183"/>
      <c r="O893" s="183"/>
      <c r="P893" s="183"/>
      <c r="Q893" s="101" t="b">
        <f t="shared" si="215"/>
        <v>1</v>
      </c>
      <c r="R893" s="101" t="b">
        <f t="shared" si="216"/>
        <v>1</v>
      </c>
      <c r="S893" s="101" t="b">
        <f t="shared" si="217"/>
        <v>1</v>
      </c>
      <c r="T893" s="167">
        <f t="shared" si="218"/>
        <v>0</v>
      </c>
      <c r="U893" s="167">
        <f t="shared" si="219"/>
        <v>0</v>
      </c>
      <c r="V893" s="167">
        <f t="shared" si="220"/>
        <v>0</v>
      </c>
    </row>
    <row r="894" spans="1:22" s="97" customFormat="1" ht="20.100000000000001" customHeight="1">
      <c r="A894" s="222"/>
      <c r="B894" s="22"/>
      <c r="C894" s="230"/>
      <c r="D894" s="230"/>
      <c r="E894" s="240"/>
      <c r="F894" s="240"/>
      <c r="G894" s="240"/>
      <c r="H894" s="240"/>
      <c r="I894" s="240"/>
      <c r="J894" s="240"/>
      <c r="K894" s="22"/>
      <c r="L894" s="230"/>
      <c r="M894" s="230"/>
      <c r="N894" s="240"/>
      <c r="O894" s="240"/>
      <c r="P894" s="240"/>
      <c r="Q894" s="101" t="b">
        <f t="shared" si="215"/>
        <v>1</v>
      </c>
      <c r="R894" s="101" t="b">
        <f t="shared" si="216"/>
        <v>1</v>
      </c>
      <c r="S894" s="101" t="b">
        <f t="shared" si="217"/>
        <v>1</v>
      </c>
      <c r="T894" s="167">
        <f t="shared" si="218"/>
        <v>0</v>
      </c>
      <c r="U894" s="167">
        <f t="shared" si="219"/>
        <v>0</v>
      </c>
      <c r="V894" s="167">
        <f t="shared" si="220"/>
        <v>0</v>
      </c>
    </row>
    <row r="895" spans="1:22" s="97" customFormat="1" ht="20.100000000000001" customHeight="1">
      <c r="A895" s="222"/>
      <c r="B895" s="21" t="s">
        <v>850</v>
      </c>
      <c r="C895" s="230"/>
      <c r="D895" s="230"/>
      <c r="E895" s="240">
        <f>'Вед-я стр-ра'!H1383</f>
        <v>0</v>
      </c>
      <c r="F895" s="240">
        <f>'Вед-я стр-ра'!I1383</f>
        <v>162555.29999999999</v>
      </c>
      <c r="G895" s="240">
        <f>'Вед-я стр-ра'!J1383</f>
        <v>313032.05</v>
      </c>
      <c r="H895" s="240">
        <v>0</v>
      </c>
      <c r="I895" s="240">
        <v>162555.29999999999</v>
      </c>
      <c r="J895" s="240">
        <v>313032.05</v>
      </c>
      <c r="K895" s="21" t="s">
        <v>850</v>
      </c>
      <c r="L895" s="230"/>
      <c r="M895" s="230"/>
      <c r="N895" s="240">
        <v>0</v>
      </c>
      <c r="O895" s="240">
        <v>177555.3</v>
      </c>
      <c r="P895" s="240">
        <v>316847.49</v>
      </c>
      <c r="Q895" s="101" t="b">
        <f t="shared" ref="Q895:Q897" si="230">B895=K895</f>
        <v>1</v>
      </c>
      <c r="R895" s="101" t="b">
        <f t="shared" ref="R895:R897" si="231">C895=L895</f>
        <v>1</v>
      </c>
      <c r="S895" s="101" t="b">
        <f t="shared" ref="S895:S897" si="232">D895=M895</f>
        <v>1</v>
      </c>
      <c r="T895" s="167">
        <f t="shared" ref="T895:T897" si="233">E895-N895</f>
        <v>0</v>
      </c>
      <c r="U895" s="167">
        <f t="shared" ref="U895:U897" si="234">F895-O895</f>
        <v>-15000</v>
      </c>
      <c r="V895" s="167">
        <f t="shared" ref="V895:V897" si="235">G895-P895</f>
        <v>-3815.4400000000023</v>
      </c>
    </row>
    <row r="896" spans="1:22" s="97" customFormat="1" ht="20.100000000000001" customHeight="1">
      <c r="A896" s="222"/>
      <c r="B896" s="22"/>
      <c r="C896" s="230"/>
      <c r="D896" s="230"/>
      <c r="E896" s="240"/>
      <c r="F896" s="240"/>
      <c r="G896" s="240"/>
      <c r="H896" s="240"/>
      <c r="I896" s="240"/>
      <c r="J896" s="240"/>
      <c r="K896" s="22"/>
      <c r="L896" s="230"/>
      <c r="M896" s="230"/>
      <c r="N896" s="240"/>
      <c r="O896" s="240"/>
      <c r="P896" s="240"/>
      <c r="Q896" s="101" t="b">
        <f t="shared" si="230"/>
        <v>1</v>
      </c>
      <c r="R896" s="101" t="b">
        <f t="shared" si="231"/>
        <v>1</v>
      </c>
      <c r="S896" s="101" t="b">
        <f t="shared" si="232"/>
        <v>1</v>
      </c>
      <c r="T896" s="167">
        <f t="shared" si="233"/>
        <v>0</v>
      </c>
      <c r="U896" s="167">
        <f t="shared" si="234"/>
        <v>0</v>
      </c>
      <c r="V896" s="167">
        <f t="shared" si="235"/>
        <v>0</v>
      </c>
    </row>
    <row r="897" spans="1:22" s="97" customFormat="1" ht="20.100000000000001" customHeight="1">
      <c r="A897" s="222"/>
      <c r="B897" s="18" t="s">
        <v>73</v>
      </c>
      <c r="C897" s="260"/>
      <c r="D897" s="261"/>
      <c r="E897" s="234">
        <f>E7+E105+E111+E318+E327+E333+E382+E415+E433+E439+E458+E507+E516+E531+E575+E613+E622+E644+E665+E688+E697+E706+E715+E730+E742+E758+E770+E784+E798+E812+E823+E848+E230+E870+E856+E631+E895</f>
        <v>16659028.299999993</v>
      </c>
      <c r="F897" s="234">
        <f>F7+F105+F111+F318+F327+F333+F382+F415+F433+F439+F458+F507+F516+F531+F575+F613+F622+F644+F665+F688+F697+F706+F715+F730+F742+F758+F770+F784+F798+F812+F823+F848+F230+F870+F856+F631+F895</f>
        <v>14540318.020000003</v>
      </c>
      <c r="G897" s="234">
        <f>G7+G105+G111+G318+G327+G333+G382+G415+G433+G439+G458+G507+G516+G531+G575+G613+G622+G644+G665+G688+G697+G706+G715+G730+G742+G758+G770+G784+G798+G812+G823+G848+G230+G870+G856+G631+G895</f>
        <v>12515539.110000003</v>
      </c>
      <c r="H897" s="234">
        <v>16113052.159999996</v>
      </c>
      <c r="I897" s="234">
        <v>13926253.770000001</v>
      </c>
      <c r="J897" s="234">
        <v>11902789.560000001</v>
      </c>
      <c r="K897" s="18" t="s">
        <v>73</v>
      </c>
      <c r="L897" s="260"/>
      <c r="M897" s="261"/>
      <c r="N897" s="234">
        <v>15588226.290000001</v>
      </c>
      <c r="O897" s="234">
        <v>13926253.770000001</v>
      </c>
      <c r="P897" s="234">
        <v>11888436.960000001</v>
      </c>
      <c r="Q897" s="101" t="b">
        <f t="shared" si="230"/>
        <v>1</v>
      </c>
      <c r="R897" s="101" t="b">
        <f t="shared" si="231"/>
        <v>1</v>
      </c>
      <c r="S897" s="101" t="b">
        <f t="shared" si="232"/>
        <v>1</v>
      </c>
      <c r="T897" s="167">
        <f t="shared" si="233"/>
        <v>1070802.0099999923</v>
      </c>
      <c r="U897" s="167">
        <f t="shared" si="234"/>
        <v>614064.25000000186</v>
      </c>
      <c r="V897" s="167">
        <f t="shared" si="235"/>
        <v>627102.15000000224</v>
      </c>
    </row>
    <row r="899" spans="1:22" ht="20.100000000000001" customHeight="1">
      <c r="A899" s="104"/>
      <c r="D899" s="104"/>
      <c r="E899" s="43">
        <f>'Вед-я стр-ра'!H1385</f>
        <v>16659028.299999997</v>
      </c>
      <c r="F899" s="43">
        <f>'Вед-я стр-ра'!I1385</f>
        <v>14540318.02</v>
      </c>
      <c r="G899" s="43">
        <f>'Вед-я стр-ра'!J1385</f>
        <v>12515539.110000003</v>
      </c>
      <c r="H899" s="533">
        <v>16113052.159999998</v>
      </c>
      <c r="I899" s="533">
        <v>13926253.769999998</v>
      </c>
      <c r="J899" s="533">
        <v>11902789.560000002</v>
      </c>
      <c r="M899" s="104"/>
      <c r="N899" s="43">
        <v>15588226.289999999</v>
      </c>
      <c r="O899" s="43">
        <v>13926253.770000001</v>
      </c>
      <c r="P899" s="43">
        <v>11888436.959999997</v>
      </c>
    </row>
    <row r="900" spans="1:22" ht="20.100000000000001" customHeight="1">
      <c r="A900" s="104"/>
      <c r="D900" s="104"/>
      <c r="E900" s="43">
        <f>E897-E899</f>
        <v>0</v>
      </c>
      <c r="F900" s="43">
        <f>F897-F899</f>
        <v>0</v>
      </c>
      <c r="G900" s="43">
        <f>G897-G899</f>
        <v>0</v>
      </c>
      <c r="H900" s="533">
        <v>0</v>
      </c>
      <c r="I900" s="533">
        <v>0</v>
      </c>
      <c r="J900" s="533">
        <v>0</v>
      </c>
      <c r="M900" s="104"/>
      <c r="N900" s="43">
        <v>0</v>
      </c>
      <c r="O900" s="43">
        <v>0</v>
      </c>
      <c r="P900" s="43">
        <v>0</v>
      </c>
    </row>
    <row r="902" spans="1:22" ht="20.100000000000001" customHeight="1">
      <c r="A902" s="104"/>
      <c r="D902" s="104"/>
      <c r="E902" s="363">
        <v>12278293.330000002</v>
      </c>
      <c r="G902" s="363">
        <v>14381120.776999999</v>
      </c>
      <c r="H902" s="363">
        <v>12278293.330000002</v>
      </c>
      <c r="J902" s="363">
        <v>14381120.776999999</v>
      </c>
      <c r="M902" s="104"/>
      <c r="N902" s="363">
        <v>12278293.330000002</v>
      </c>
      <c r="P902" s="363">
        <v>14381120.776999999</v>
      </c>
    </row>
    <row r="903" spans="1:22" ht="20.100000000000001" customHeight="1">
      <c r="A903" s="104"/>
      <c r="D903" s="104"/>
      <c r="E903" s="363">
        <f>E897-E902</f>
        <v>4380734.9699999914</v>
      </c>
      <c r="G903" s="363">
        <v>3858250.8530000076</v>
      </c>
      <c r="H903" s="363">
        <v>3834758.8299999945</v>
      </c>
      <c r="J903" s="363">
        <v>3858250.8530000076</v>
      </c>
      <c r="M903" s="104"/>
      <c r="N903" s="363">
        <v>3309932.959999999</v>
      </c>
      <c r="P903" s="363">
        <v>3858250.8530000076</v>
      </c>
    </row>
    <row r="905" spans="1:22" ht="20.100000000000001" customHeight="1">
      <c r="A905" s="104"/>
      <c r="D905" s="104"/>
      <c r="E905" s="363">
        <f>E897-'Вед-я стр-ра'!H1385</f>
        <v>0</v>
      </c>
      <c r="F905" s="363">
        <f>F897-'Вед-я стр-ра'!I1385</f>
        <v>0</v>
      </c>
      <c r="G905" s="363">
        <v>0</v>
      </c>
      <c r="H905" s="363">
        <v>0</v>
      </c>
      <c r="I905" s="363">
        <v>0</v>
      </c>
      <c r="J905" s="363">
        <v>0</v>
      </c>
      <c r="M905" s="104"/>
      <c r="N905" s="363">
        <v>0</v>
      </c>
      <c r="O905" s="363">
        <v>0</v>
      </c>
      <c r="P905" s="363">
        <v>0</v>
      </c>
    </row>
  </sheetData>
  <autoFilter ref="A5:G900">
    <filterColumn colId="2"/>
    <filterColumn colId="3"/>
    <filterColumn colId="6"/>
  </autoFilter>
  <pageMargins left="0.35433070866141736" right="0.35433070866141736" top="0.43307086614173229" bottom="7.874015748031496E-2" header="0.27559055118110237" footer="0.15748031496062992"/>
  <pageSetup paperSize="9" scale="135" fitToHeight="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5" tint="-0.249977111117893"/>
  </sheetPr>
  <dimension ref="A6:D34"/>
  <sheetViews>
    <sheetView topLeftCell="A7" workbookViewId="0">
      <selection activeCell="B16" sqref="B16"/>
    </sheetView>
  </sheetViews>
  <sheetFormatPr defaultRowHeight="18"/>
  <cols>
    <col min="1" max="1" width="14.7265625" bestFit="1" customWidth="1"/>
    <col min="2" max="2" width="12.7265625" bestFit="1" customWidth="1"/>
    <col min="3" max="3" width="14" customWidth="1"/>
    <col min="4" max="4" width="12.7265625" customWidth="1"/>
  </cols>
  <sheetData>
    <row r="6" spans="1:4" ht="18.75" thickBot="1"/>
    <row r="7" spans="1:4" ht="18.75" thickBot="1">
      <c r="B7" s="139" t="s">
        <v>891</v>
      </c>
      <c r="C7" s="139" t="s">
        <v>977</v>
      </c>
      <c r="D7" s="139" t="s">
        <v>1032</v>
      </c>
    </row>
    <row r="8" spans="1:4">
      <c r="A8" s="299" t="s">
        <v>644</v>
      </c>
      <c r="B8" s="300">
        <f>'Вед-я стр-ра'!H1385</f>
        <v>16659028.299999997</v>
      </c>
      <c r="C8" s="300">
        <f>'Вед-я стр-ра'!I1385</f>
        <v>14540318.02</v>
      </c>
      <c r="D8" s="300">
        <f>'Вед-я стр-ра'!J1385</f>
        <v>12515539.110000003</v>
      </c>
    </row>
    <row r="9" spans="1:4">
      <c r="A9" s="301"/>
      <c r="B9" s="301"/>
      <c r="C9" s="302"/>
      <c r="D9" s="302"/>
    </row>
    <row r="10" spans="1:4">
      <c r="A10" s="303" t="s">
        <v>645</v>
      </c>
      <c r="B10" s="304">
        <f>'МП и неМП'!E897</f>
        <v>16659028.299999993</v>
      </c>
      <c r="C10" s="304">
        <f>'МП и неМП'!F897</f>
        <v>14540318.020000003</v>
      </c>
      <c r="D10" s="304">
        <f>'МП и неМП'!G897</f>
        <v>12515539.110000003</v>
      </c>
    </row>
    <row r="11" spans="1:4">
      <c r="A11" s="301"/>
      <c r="B11" s="301"/>
      <c r="C11" s="302"/>
      <c r="D11" s="302"/>
    </row>
    <row r="12" spans="1:4">
      <c r="A12" s="299" t="s">
        <v>91</v>
      </c>
      <c r="B12" s="300">
        <f>B8-B10</f>
        <v>0</v>
      </c>
      <c r="C12" s="300">
        <f t="shared" ref="C12:D12" si="0">C8-C10</f>
        <v>0</v>
      </c>
      <c r="D12" s="300">
        <f t="shared" si="0"/>
        <v>0</v>
      </c>
    </row>
    <row r="13" spans="1:4">
      <c r="A13" s="302"/>
      <c r="B13" s="305"/>
      <c r="C13" s="302"/>
      <c r="D13" s="302"/>
    </row>
    <row r="14" spans="1:4">
      <c r="A14" s="302"/>
      <c r="B14" s="306"/>
      <c r="C14" s="307"/>
      <c r="D14" s="302"/>
    </row>
    <row r="15" spans="1:4">
      <c r="A15" s="302"/>
      <c r="B15" s="306"/>
      <c r="C15" s="302"/>
      <c r="D15" s="302"/>
    </row>
    <row r="16" spans="1:4" ht="21" customHeight="1">
      <c r="A16" s="308" t="s">
        <v>39</v>
      </c>
      <c r="B16" s="392">
        <f>'ГРБС 2023'!L20</f>
        <v>16659028.299999997</v>
      </c>
      <c r="C16" s="392">
        <f>'ГРБС 2024'!J20</f>
        <v>14540318.019960001</v>
      </c>
      <c r="D16" s="392">
        <f>'ГРБС 2025'!J20</f>
        <v>12515539.109960001</v>
      </c>
    </row>
    <row r="17" spans="1:4" s="1" customFormat="1">
      <c r="A17" s="309"/>
      <c r="B17" s="310"/>
      <c r="C17" s="309"/>
      <c r="D17" s="309"/>
    </row>
    <row r="18" spans="1:4">
      <c r="A18" s="311" t="s">
        <v>40</v>
      </c>
      <c r="B18" s="312">
        <f>B8-B16</f>
        <v>0</v>
      </c>
      <c r="C18" s="312">
        <f t="shared" ref="C18:D18" si="1">C8-C16</f>
        <v>3.9998441934585571E-5</v>
      </c>
      <c r="D18" s="312">
        <f t="shared" si="1"/>
        <v>4.0002167224884033E-5</v>
      </c>
    </row>
    <row r="19" spans="1:4">
      <c r="B19" s="3"/>
    </row>
    <row r="20" spans="1:4">
      <c r="B20" s="4"/>
    </row>
    <row r="21" spans="1:4">
      <c r="A21" s="303" t="s">
        <v>886</v>
      </c>
      <c r="B21" s="304">
        <f>'Р ПР 2021-2023'!C48</f>
        <v>16659028.299999999</v>
      </c>
      <c r="C21" s="304">
        <f>'Р ПР 2021-2023'!D48</f>
        <v>14540318.020000001</v>
      </c>
      <c r="D21" s="304">
        <f>'Р ПР 2021-2023'!E48</f>
        <v>12515539.110000001</v>
      </c>
    </row>
    <row r="23" spans="1:4">
      <c r="A23" s="299" t="s">
        <v>91</v>
      </c>
      <c r="B23" s="300">
        <f>B16-B21</f>
        <v>0</v>
      </c>
      <c r="C23" s="300">
        <f t="shared" ref="C23:D23" si="2">C16-C21</f>
        <v>-4.0000304579734802E-5</v>
      </c>
      <c r="D23" s="300">
        <f t="shared" si="2"/>
        <v>-4.0000304579734802E-5</v>
      </c>
    </row>
    <row r="27" spans="1:4">
      <c r="A27" s="303" t="s">
        <v>887</v>
      </c>
      <c r="B27" s="304">
        <f>'ПРОВЕРКА прогр-непрогр'!C46</f>
        <v>16659028.299999999</v>
      </c>
      <c r="C27" s="304">
        <f>'ПРОВЕРКА прогр-непрогр'!D46</f>
        <v>14540318.020000001</v>
      </c>
      <c r="D27" s="304">
        <f>'ПРОВЕРКА прогр-непрогр'!E46</f>
        <v>12515539.110000003</v>
      </c>
    </row>
    <row r="29" spans="1:4">
      <c r="A29" s="299" t="s">
        <v>91</v>
      </c>
      <c r="B29" s="300">
        <f>B16-B27</f>
        <v>0</v>
      </c>
      <c r="C29" s="300">
        <f t="shared" ref="C29:D29" si="3">C16-C27</f>
        <v>-4.0000304579734802E-5</v>
      </c>
      <c r="D29" s="300">
        <f t="shared" si="3"/>
        <v>-4.0002167224884033E-5</v>
      </c>
    </row>
    <row r="31" spans="1:4">
      <c r="B31" s="2">
        <f>B8-B10</f>
        <v>0</v>
      </c>
    </row>
    <row r="34" spans="2:2">
      <c r="B34" s="2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00B050"/>
    <pageSetUpPr fitToPage="1"/>
  </sheetPr>
  <dimension ref="A1:V40"/>
  <sheetViews>
    <sheetView view="pageBreakPreview" zoomScale="90" zoomScaleNormal="75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7" sqref="L37"/>
    </sheetView>
  </sheetViews>
  <sheetFormatPr defaultRowHeight="18"/>
  <cols>
    <col min="1" max="1" width="8.90625" customWidth="1"/>
    <col min="2" max="2" width="13" style="5" customWidth="1"/>
    <col min="3" max="12" width="11.7265625" style="5" customWidth="1"/>
    <col min="13" max="13" width="12.6328125" style="5" customWidth="1"/>
    <col min="14" max="14" width="11" style="5" customWidth="1"/>
    <col min="15" max="15" width="17.453125" customWidth="1"/>
    <col min="16" max="16" width="15" customWidth="1"/>
    <col min="18" max="18" width="12" customWidth="1"/>
    <col min="20" max="20" width="12.08984375" customWidth="1"/>
    <col min="21" max="21" width="11.81640625" customWidth="1"/>
    <col min="22" max="22" width="9.7265625" bestFit="1" customWidth="1"/>
  </cols>
  <sheetData>
    <row r="1" spans="1:22">
      <c r="A1">
        <v>2023</v>
      </c>
    </row>
    <row r="2" spans="1:22" s="130" customFormat="1" ht="96.75" customHeight="1">
      <c r="A2" s="226" t="s">
        <v>220</v>
      </c>
      <c r="B2" s="436" t="s">
        <v>1034</v>
      </c>
      <c r="C2" s="226" t="s">
        <v>1137</v>
      </c>
      <c r="D2" s="436" t="s">
        <v>1034</v>
      </c>
      <c r="E2" s="226" t="s">
        <v>643</v>
      </c>
      <c r="F2" s="436" t="s">
        <v>1216</v>
      </c>
      <c r="G2" s="226" t="s">
        <v>1217</v>
      </c>
      <c r="H2" s="436" t="s">
        <v>1247</v>
      </c>
      <c r="I2" s="462" t="s">
        <v>1248</v>
      </c>
      <c r="J2" s="462" t="s">
        <v>1267</v>
      </c>
      <c r="K2" s="436" t="s">
        <v>1268</v>
      </c>
      <c r="L2" s="462" t="s">
        <v>1114</v>
      </c>
      <c r="M2" s="436" t="s">
        <v>64</v>
      </c>
      <c r="N2" s="227" t="s">
        <v>65</v>
      </c>
      <c r="O2" s="366" t="s">
        <v>1110</v>
      </c>
      <c r="P2" s="367" t="s">
        <v>1111</v>
      </c>
      <c r="R2" s="474">
        <v>138739.54999999999</v>
      </c>
      <c r="S2" s="474">
        <v>15333.560000000001</v>
      </c>
      <c r="T2" s="474">
        <v>-26988.35</v>
      </c>
      <c r="U2" s="474">
        <v>-37326.99</v>
      </c>
      <c r="V2" s="165">
        <f>R2+U2</f>
        <v>101412.56</v>
      </c>
    </row>
    <row r="3" spans="1:22" ht="21" customHeight="1">
      <c r="A3" s="8">
        <v>600</v>
      </c>
      <c r="B3" s="435">
        <v>56474.69</v>
      </c>
      <c r="C3" s="8"/>
      <c r="D3" s="162">
        <f>B3+C3</f>
        <v>56474.69</v>
      </c>
      <c r="E3" s="434">
        <v>0</v>
      </c>
      <c r="F3" s="435">
        <f>SUM(D3:E3)</f>
        <v>56474.69</v>
      </c>
      <c r="G3" s="434"/>
      <c r="H3" s="435">
        <f>1303.88+156.65</f>
        <v>1460.5300000000002</v>
      </c>
      <c r="I3" s="434"/>
      <c r="J3" s="434">
        <v>0</v>
      </c>
      <c r="K3" s="435"/>
      <c r="L3" s="434">
        <f>SUM(F3:K3)</f>
        <v>57935.22</v>
      </c>
      <c r="M3" s="435">
        <f>'Вед-я стр-ра'!H5</f>
        <v>57935.22</v>
      </c>
      <c r="N3" s="435">
        <f>L3-M3</f>
        <v>0</v>
      </c>
      <c r="O3" s="433"/>
      <c r="P3" s="433"/>
    </row>
    <row r="4" spans="1:22">
      <c r="A4" s="8">
        <v>601</v>
      </c>
      <c r="B4" s="435">
        <v>235942.49</v>
      </c>
      <c r="C4" s="120">
        <v>8173.8</v>
      </c>
      <c r="D4" s="435">
        <f t="shared" ref="D4:D18" si="0">B4+C4</f>
        <v>244116.28999999998</v>
      </c>
      <c r="E4" s="434">
        <v>13418.68</v>
      </c>
      <c r="F4" s="435">
        <f t="shared" ref="F4:F19" si="1">SUM(D4:E4)</f>
        <v>257534.96999999997</v>
      </c>
      <c r="G4" s="434"/>
      <c r="H4" s="435">
        <v>930.8</v>
      </c>
      <c r="I4" s="434"/>
      <c r="J4" s="434">
        <v>0</v>
      </c>
      <c r="K4" s="435"/>
      <c r="L4" s="434">
        <f t="shared" ref="L4:L19" si="2">SUM(F4:K4)</f>
        <v>258465.76999999996</v>
      </c>
      <c r="M4" s="435">
        <f>'Вед-я стр-ра'!H37</f>
        <v>258465.77000000002</v>
      </c>
      <c r="N4" s="435">
        <f t="shared" ref="N4:N19" si="3">L4-M4</f>
        <v>0</v>
      </c>
      <c r="O4" s="433"/>
      <c r="P4" s="433"/>
    </row>
    <row r="5" spans="1:22">
      <c r="A5" s="8">
        <v>602</v>
      </c>
      <c r="B5" s="435">
        <v>126537.5</v>
      </c>
      <c r="C5" s="434">
        <v>-1874.27</v>
      </c>
      <c r="D5" s="435">
        <f t="shared" si="0"/>
        <v>124663.23</v>
      </c>
      <c r="E5" s="434">
        <v>12856.73</v>
      </c>
      <c r="F5" s="435">
        <f t="shared" si="1"/>
        <v>137519.96</v>
      </c>
      <c r="G5" s="434"/>
      <c r="H5" s="435">
        <v>226625.53</v>
      </c>
      <c r="I5" s="434"/>
      <c r="J5" s="434">
        <v>-1885.51</v>
      </c>
      <c r="K5" s="435"/>
      <c r="L5" s="434">
        <f t="shared" si="2"/>
        <v>362259.98</v>
      </c>
      <c r="M5" s="435">
        <f>'Вед-я стр-ра'!H164</f>
        <v>362259.98</v>
      </c>
      <c r="N5" s="435">
        <f t="shared" si="3"/>
        <v>0</v>
      </c>
      <c r="O5" s="433"/>
      <c r="P5" s="433"/>
    </row>
    <row r="6" spans="1:22">
      <c r="A6" s="8">
        <v>604</v>
      </c>
      <c r="B6" s="435">
        <v>369905.87</v>
      </c>
      <c r="C6" s="434">
        <v>101412.56</v>
      </c>
      <c r="D6" s="435">
        <f t="shared" si="0"/>
        <v>471318.43</v>
      </c>
      <c r="E6" s="434">
        <v>0</v>
      </c>
      <c r="F6" s="435">
        <f t="shared" si="1"/>
        <v>471318.43</v>
      </c>
      <c r="G6" s="434"/>
      <c r="H6" s="435">
        <v>0</v>
      </c>
      <c r="I6" s="434">
        <f>-56872.36-156.65</f>
        <v>-57029.01</v>
      </c>
      <c r="J6" s="434">
        <v>0</v>
      </c>
      <c r="K6" s="435">
        <v>-4635.67</v>
      </c>
      <c r="L6" s="434">
        <f t="shared" si="2"/>
        <v>409653.75</v>
      </c>
      <c r="M6" s="435">
        <f>'Вед-я стр-ра'!H207</f>
        <v>409653.75</v>
      </c>
      <c r="N6" s="435">
        <f t="shared" si="3"/>
        <v>0</v>
      </c>
      <c r="O6" s="433"/>
      <c r="P6" s="433"/>
    </row>
    <row r="7" spans="1:22">
      <c r="A7" s="8">
        <v>605</v>
      </c>
      <c r="B7" s="435">
        <v>173520.84</v>
      </c>
      <c r="C7" s="434">
        <v>496.47</v>
      </c>
      <c r="D7" s="435">
        <f t="shared" si="0"/>
        <v>174017.31</v>
      </c>
      <c r="E7" s="434">
        <v>0</v>
      </c>
      <c r="F7" s="435">
        <f t="shared" si="1"/>
        <v>174017.31</v>
      </c>
      <c r="G7" s="434"/>
      <c r="H7" s="435">
        <v>25.43</v>
      </c>
      <c r="I7" s="434"/>
      <c r="J7" s="434">
        <v>0</v>
      </c>
      <c r="K7" s="435"/>
      <c r="L7" s="434">
        <f t="shared" si="2"/>
        <v>174042.74</v>
      </c>
      <c r="M7" s="435">
        <f>'Вед-я стр-ра'!H238</f>
        <v>174042.74</v>
      </c>
      <c r="N7" s="435">
        <f t="shared" si="3"/>
        <v>0</v>
      </c>
      <c r="O7" s="433"/>
      <c r="P7" s="433"/>
    </row>
    <row r="8" spans="1:22">
      <c r="A8" s="8">
        <v>606</v>
      </c>
      <c r="B8" s="435">
        <v>2591623.92</v>
      </c>
      <c r="C8" s="434">
        <f>40923.85+37326.99</f>
        <v>78250.84</v>
      </c>
      <c r="D8" s="435">
        <f t="shared" si="0"/>
        <v>2669874.7599999998</v>
      </c>
      <c r="E8" s="434">
        <v>5205229.17</v>
      </c>
      <c r="F8" s="435">
        <f t="shared" si="1"/>
        <v>7875103.9299999997</v>
      </c>
      <c r="G8" s="434"/>
      <c r="H8" s="435">
        <v>27882.01</v>
      </c>
      <c r="I8" s="434"/>
      <c r="J8" s="434">
        <v>247632.93</v>
      </c>
      <c r="K8" s="435">
        <v>2652.13</v>
      </c>
      <c r="L8" s="434">
        <f t="shared" si="2"/>
        <v>8153270.9999999991</v>
      </c>
      <c r="M8" s="435">
        <f>'Вед-я стр-ра'!H318</f>
        <v>8153270.9999999991</v>
      </c>
      <c r="N8" s="435">
        <f t="shared" si="3"/>
        <v>0</v>
      </c>
      <c r="O8" s="433"/>
      <c r="P8" s="433"/>
    </row>
    <row r="9" spans="1:22">
      <c r="A9" s="8">
        <v>607</v>
      </c>
      <c r="B9" s="435">
        <v>602967.56000000006</v>
      </c>
      <c r="C9" s="434">
        <v>49992.13</v>
      </c>
      <c r="D9" s="435">
        <f t="shared" si="0"/>
        <v>652959.69000000006</v>
      </c>
      <c r="E9" s="434">
        <v>14160.560000000001</v>
      </c>
      <c r="F9" s="435">
        <f t="shared" si="1"/>
        <v>667120.25000000012</v>
      </c>
      <c r="G9" s="434"/>
      <c r="H9" s="435">
        <v>1384.22</v>
      </c>
      <c r="I9" s="434"/>
      <c r="J9" s="434">
        <v>-1479.67</v>
      </c>
      <c r="K9" s="435">
        <v>-77.88</v>
      </c>
      <c r="L9" s="434">
        <f t="shared" si="2"/>
        <v>666946.92000000004</v>
      </c>
      <c r="M9" s="435">
        <f>'Вед-я стр-ра'!H507</f>
        <v>666946.91999999993</v>
      </c>
      <c r="N9" s="435">
        <f t="shared" si="3"/>
        <v>0</v>
      </c>
      <c r="O9" s="433"/>
      <c r="P9" s="433"/>
    </row>
    <row r="10" spans="1:22">
      <c r="A10" s="8">
        <v>609</v>
      </c>
      <c r="B10" s="435">
        <v>69212.02</v>
      </c>
      <c r="C10" s="434">
        <v>5920.25</v>
      </c>
      <c r="D10" s="435">
        <f t="shared" si="0"/>
        <v>75132.27</v>
      </c>
      <c r="E10" s="434">
        <v>2703291.26</v>
      </c>
      <c r="F10" s="435">
        <f t="shared" si="1"/>
        <v>2778423.53</v>
      </c>
      <c r="G10" s="434"/>
      <c r="H10" s="435">
        <v>0</v>
      </c>
      <c r="I10" s="434"/>
      <c r="J10" s="434">
        <v>129778.51</v>
      </c>
      <c r="K10" s="435"/>
      <c r="L10" s="434">
        <f t="shared" si="2"/>
        <v>2908202.0399999996</v>
      </c>
      <c r="M10" s="435">
        <f>'Вед-я стр-ра'!H653</f>
        <v>2908202.04</v>
      </c>
      <c r="N10" s="435">
        <f t="shared" si="3"/>
        <v>0</v>
      </c>
      <c r="O10" s="433"/>
      <c r="P10" s="433"/>
    </row>
    <row r="11" spans="1:22">
      <c r="A11" s="8">
        <v>611</v>
      </c>
      <c r="B11" s="435">
        <v>245326.99</v>
      </c>
      <c r="C11" s="434">
        <v>8084.4</v>
      </c>
      <c r="D11" s="435">
        <f t="shared" si="0"/>
        <v>253411.38999999998</v>
      </c>
      <c r="E11" s="434">
        <v>0</v>
      </c>
      <c r="F11" s="435">
        <f>SUM(D11:E11)</f>
        <v>253411.38999999998</v>
      </c>
      <c r="G11" s="434"/>
      <c r="H11" s="435">
        <v>1655.05</v>
      </c>
      <c r="I11" s="434"/>
      <c r="J11" s="434">
        <v>39166.980000000003</v>
      </c>
      <c r="K11" s="435">
        <v>2061.42</v>
      </c>
      <c r="L11" s="434">
        <f t="shared" si="2"/>
        <v>296294.83999999997</v>
      </c>
      <c r="M11" s="435">
        <f>'Вед-я стр-ра'!H818</f>
        <v>296294.84000000003</v>
      </c>
      <c r="N11" s="435">
        <f t="shared" si="3"/>
        <v>0</v>
      </c>
      <c r="O11" s="433"/>
      <c r="P11" s="433"/>
    </row>
    <row r="12" spans="1:22">
      <c r="A12" s="8">
        <v>617</v>
      </c>
      <c r="B12" s="435">
        <v>176873.48</v>
      </c>
      <c r="C12" s="434">
        <f>4548.84+38.19</f>
        <v>4587.03</v>
      </c>
      <c r="D12" s="435">
        <f t="shared" si="0"/>
        <v>181460.51</v>
      </c>
      <c r="E12" s="434">
        <v>24452.03</v>
      </c>
      <c r="F12" s="435">
        <f t="shared" si="1"/>
        <v>205912.54</v>
      </c>
      <c r="G12" s="434"/>
      <c r="H12" s="435">
        <v>6526.31</v>
      </c>
      <c r="I12" s="434"/>
      <c r="J12" s="434">
        <v>-0.18</v>
      </c>
      <c r="K12" s="435"/>
      <c r="L12" s="434">
        <f t="shared" si="2"/>
        <v>212438.67</v>
      </c>
      <c r="M12" s="435">
        <f>'Вед-я стр-ра'!H898</f>
        <v>212438.67</v>
      </c>
      <c r="N12" s="435">
        <f t="shared" si="3"/>
        <v>0</v>
      </c>
      <c r="O12" s="433"/>
      <c r="P12" s="433"/>
    </row>
    <row r="13" spans="1:22">
      <c r="A13" s="8">
        <v>618</v>
      </c>
      <c r="B13" s="435">
        <v>144568.13</v>
      </c>
      <c r="C13" s="434">
        <f>865.5-569.51+29.4</f>
        <v>325.39</v>
      </c>
      <c r="D13" s="435">
        <f t="shared" si="0"/>
        <v>144893.52000000002</v>
      </c>
      <c r="E13" s="434">
        <v>10243.43</v>
      </c>
      <c r="F13" s="435">
        <f t="shared" si="1"/>
        <v>155136.95000000001</v>
      </c>
      <c r="G13" s="434"/>
      <c r="H13" s="435">
        <v>300</v>
      </c>
      <c r="I13" s="434"/>
      <c r="J13" s="434">
        <v>-0.18</v>
      </c>
      <c r="K13" s="435"/>
      <c r="L13" s="434">
        <f t="shared" si="2"/>
        <v>155436.77000000002</v>
      </c>
      <c r="M13" s="435">
        <f>'Вед-я стр-ра'!H970</f>
        <v>155436.77000000002</v>
      </c>
      <c r="N13" s="435">
        <f t="shared" si="3"/>
        <v>0</v>
      </c>
      <c r="O13" s="433"/>
      <c r="P13" s="433"/>
    </row>
    <row r="14" spans="1:22">
      <c r="A14" s="8">
        <v>619</v>
      </c>
      <c r="B14" s="435">
        <v>296021.40999999997</v>
      </c>
      <c r="C14" s="434">
        <f>4100-10.72</f>
        <v>4089.28</v>
      </c>
      <c r="D14" s="435">
        <f t="shared" si="0"/>
        <v>300110.69</v>
      </c>
      <c r="E14" s="434">
        <v>10383.25</v>
      </c>
      <c r="F14" s="435">
        <f t="shared" si="1"/>
        <v>310493.94</v>
      </c>
      <c r="G14" s="434"/>
      <c r="H14" s="435">
        <v>4288.28</v>
      </c>
      <c r="I14" s="434"/>
      <c r="J14" s="434">
        <v>-0.2</v>
      </c>
      <c r="K14" s="435"/>
      <c r="L14" s="434">
        <f t="shared" si="2"/>
        <v>314782.02</v>
      </c>
      <c r="M14" s="435">
        <f>'Вед-я стр-ра'!H1032</f>
        <v>314782.02</v>
      </c>
      <c r="N14" s="435">
        <f t="shared" si="3"/>
        <v>0</v>
      </c>
      <c r="O14" s="433"/>
      <c r="P14" s="433"/>
    </row>
    <row r="15" spans="1:22">
      <c r="A15" s="8">
        <v>620</v>
      </c>
      <c r="B15" s="435">
        <v>529330.65</v>
      </c>
      <c r="C15" s="434">
        <v>-12147.14</v>
      </c>
      <c r="D15" s="435">
        <f t="shared" si="0"/>
        <v>517183.51</v>
      </c>
      <c r="E15" s="434">
        <f>762756.72+59527.41</f>
        <v>822284.13</v>
      </c>
      <c r="F15" s="435">
        <f t="shared" si="1"/>
        <v>1339467.6400000001</v>
      </c>
      <c r="G15" s="434">
        <f>185121.48+66902.2</f>
        <v>252023.67999999999</v>
      </c>
      <c r="H15" s="435">
        <f>53771.91+675.79</f>
        <v>54447.700000000004</v>
      </c>
      <c r="I15" s="434"/>
      <c r="J15" s="434">
        <v>132763.46</v>
      </c>
      <c r="K15" s="435"/>
      <c r="L15" s="434">
        <f t="shared" si="2"/>
        <v>1778702.48</v>
      </c>
      <c r="M15" s="435">
        <f>'Вед-я стр-ра'!H1102</f>
        <v>1778702.48</v>
      </c>
      <c r="N15" s="435">
        <f t="shared" si="3"/>
        <v>0</v>
      </c>
      <c r="O15" s="433"/>
      <c r="P15" s="433"/>
    </row>
    <row r="16" spans="1:22">
      <c r="A16" s="8">
        <v>621</v>
      </c>
      <c r="B16" s="435">
        <v>131967.89000000001</v>
      </c>
      <c r="C16" s="434">
        <v>-13503.85</v>
      </c>
      <c r="D16" s="435">
        <f t="shared" si="0"/>
        <v>118464.04000000001</v>
      </c>
      <c r="E16" s="434">
        <v>641703.89</v>
      </c>
      <c r="F16" s="435">
        <f t="shared" si="1"/>
        <v>760167.93</v>
      </c>
      <c r="G16" s="434"/>
      <c r="H16" s="435">
        <v>3780</v>
      </c>
      <c r="I16" s="434"/>
      <c r="J16" s="434">
        <v>0</v>
      </c>
      <c r="K16" s="435"/>
      <c r="L16" s="434">
        <f t="shared" si="2"/>
        <v>763947.93</v>
      </c>
      <c r="M16" s="435">
        <f>'Вед-я стр-ра'!H1242</f>
        <v>763947.93</v>
      </c>
      <c r="N16" s="435">
        <f t="shared" si="3"/>
        <v>0</v>
      </c>
      <c r="O16" s="433"/>
      <c r="P16" s="433"/>
    </row>
    <row r="17" spans="1:16">
      <c r="A17" s="8">
        <v>624</v>
      </c>
      <c r="B17" s="435">
        <v>124710.16</v>
      </c>
      <c r="C17" s="434">
        <v>1844.3</v>
      </c>
      <c r="D17" s="435">
        <f t="shared" si="0"/>
        <v>126554.46</v>
      </c>
      <c r="E17" s="434">
        <v>0</v>
      </c>
      <c r="F17" s="435">
        <f t="shared" si="1"/>
        <v>126554.46</v>
      </c>
      <c r="G17" s="434"/>
      <c r="H17" s="435">
        <v>40.46</v>
      </c>
      <c r="I17" s="434"/>
      <c r="J17" s="434">
        <v>0</v>
      </c>
      <c r="K17" s="435"/>
      <c r="L17" s="434">
        <f t="shared" si="2"/>
        <v>126594.92000000001</v>
      </c>
      <c r="M17" s="435">
        <f>'Вед-я стр-ра'!H1322</f>
        <v>126594.92</v>
      </c>
      <c r="N17" s="435">
        <f t="shared" si="3"/>
        <v>0</v>
      </c>
      <c r="O17" s="433"/>
      <c r="P17" s="433"/>
    </row>
    <row r="18" spans="1:16">
      <c r="A18" s="8">
        <v>643</v>
      </c>
      <c r="B18" s="435">
        <v>19456.37</v>
      </c>
      <c r="C18" s="434">
        <v>112</v>
      </c>
      <c r="D18" s="435">
        <f t="shared" si="0"/>
        <v>19568.37</v>
      </c>
      <c r="E18" s="434">
        <v>0</v>
      </c>
      <c r="F18" s="435">
        <f t="shared" si="1"/>
        <v>19568.37</v>
      </c>
      <c r="G18" s="434"/>
      <c r="H18" s="435">
        <v>484.88</v>
      </c>
      <c r="I18" s="434"/>
      <c r="J18" s="434">
        <v>0</v>
      </c>
      <c r="K18" s="435"/>
      <c r="L18" s="434">
        <f t="shared" si="2"/>
        <v>20053.25</v>
      </c>
      <c r="M18" s="435">
        <f>'Вед-я стр-ра'!H1366</f>
        <v>20053.249999999996</v>
      </c>
      <c r="N18" s="435">
        <f t="shared" si="3"/>
        <v>0</v>
      </c>
      <c r="O18" s="433"/>
      <c r="P18" s="433"/>
    </row>
    <row r="19" spans="1:16">
      <c r="A19" s="8" t="s">
        <v>1136</v>
      </c>
      <c r="B19" s="162">
        <v>-0.01</v>
      </c>
      <c r="C19" s="8">
        <v>0.01</v>
      </c>
      <c r="D19" s="162">
        <f t="shared" ref="D19" si="4">B19+C19</f>
        <v>0</v>
      </c>
      <c r="E19" s="434"/>
      <c r="F19" s="435">
        <f t="shared" si="1"/>
        <v>0</v>
      </c>
      <c r="G19" s="434"/>
      <c r="H19" s="435">
        <v>0</v>
      </c>
      <c r="I19" s="434"/>
      <c r="J19" s="434">
        <v>0</v>
      </c>
      <c r="K19" s="435"/>
      <c r="L19" s="434">
        <f t="shared" si="2"/>
        <v>0</v>
      </c>
      <c r="M19" s="435">
        <f>'Вед-я стр-ра'!H1383</f>
        <v>0</v>
      </c>
      <c r="N19" s="435">
        <f t="shared" si="3"/>
        <v>0</v>
      </c>
      <c r="O19" s="433"/>
      <c r="P19" s="433"/>
    </row>
    <row r="20" spans="1:16" s="119" customFormat="1">
      <c r="A20" s="9" t="s">
        <v>66</v>
      </c>
      <c r="B20" s="118">
        <f t="shared" ref="B20:N20" si="5">SUM(B3:B19)</f>
        <v>5894439.9600000009</v>
      </c>
      <c r="C20" s="118">
        <f t="shared" si="5"/>
        <v>235763.19999999998</v>
      </c>
      <c r="D20" s="118">
        <f t="shared" si="5"/>
        <v>6130203.1600000001</v>
      </c>
      <c r="E20" s="118">
        <f t="shared" si="5"/>
        <v>9458023.1300000008</v>
      </c>
      <c r="F20" s="118">
        <f t="shared" si="5"/>
        <v>15588226.289999997</v>
      </c>
      <c r="G20" s="118">
        <f t="shared" si="5"/>
        <v>252023.67999999999</v>
      </c>
      <c r="H20" s="118">
        <f t="shared" si="5"/>
        <v>329831.20000000007</v>
      </c>
      <c r="I20" s="118">
        <f t="shared" si="5"/>
        <v>-57029.01</v>
      </c>
      <c r="J20" s="118">
        <f t="shared" si="5"/>
        <v>545976.1399999999</v>
      </c>
      <c r="K20" s="118">
        <f t="shared" si="5"/>
        <v>0</v>
      </c>
      <c r="L20" s="118">
        <f t="shared" ref="L20" si="6">SUM(L3:L19)</f>
        <v>16659028.299999997</v>
      </c>
      <c r="M20" s="118">
        <f t="shared" si="5"/>
        <v>16659028.299999997</v>
      </c>
      <c r="N20" s="118">
        <f t="shared" si="5"/>
        <v>0</v>
      </c>
      <c r="O20" s="447"/>
      <c r="P20" s="368"/>
    </row>
    <row r="21" spans="1:16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O21" s="366"/>
      <c r="P21" s="369"/>
    </row>
    <row r="22" spans="1:16">
      <c r="D22" s="5">
        <v>6130146.29</v>
      </c>
    </row>
    <row r="23" spans="1:16">
      <c r="F23" s="181"/>
      <c r="G23" s="181"/>
      <c r="H23" s="181"/>
      <c r="I23" s="181"/>
      <c r="J23" s="181"/>
      <c r="K23" s="181"/>
      <c r="L23" s="181"/>
      <c r="N23" s="5" t="s">
        <v>633</v>
      </c>
    </row>
    <row r="24" spans="1:16" s="277" customFormat="1">
      <c r="A24" s="277" t="s">
        <v>580</v>
      </c>
      <c r="B24" s="278">
        <f>B25+B26</f>
        <v>0</v>
      </c>
      <c r="C24" s="278">
        <f>C25+C26</f>
        <v>0</v>
      </c>
      <c r="D24" s="278">
        <f>D25+D26</f>
        <v>6010173.25</v>
      </c>
      <c r="E24" s="278">
        <f>E25+E26</f>
        <v>9458023.1300000008</v>
      </c>
      <c r="F24" s="278">
        <f>D24+E24</f>
        <v>15468196.380000001</v>
      </c>
      <c r="G24" s="278">
        <f>G25+G26</f>
        <v>252023.67999999999</v>
      </c>
      <c r="H24" s="278">
        <f t="shared" ref="H24:L24" si="7">H25+H26</f>
        <v>0</v>
      </c>
      <c r="I24" s="278">
        <f t="shared" si="7"/>
        <v>0</v>
      </c>
      <c r="J24" s="278"/>
      <c r="K24" s="278"/>
      <c r="L24" s="278">
        <f t="shared" si="7"/>
        <v>15720220.060000001</v>
      </c>
      <c r="M24" s="278">
        <f t="shared" ref="M24" si="8">M25+M26</f>
        <v>0</v>
      </c>
      <c r="N24" s="278">
        <f>SUM(N25:N26)</f>
        <v>0</v>
      </c>
    </row>
    <row r="25" spans="1:16" s="116" customFormat="1" ht="18.75">
      <c r="A25" s="116" t="s">
        <v>792</v>
      </c>
      <c r="B25" s="274"/>
      <c r="C25" s="274"/>
      <c r="D25" s="274">
        <f>5304326.73+705846.52</f>
        <v>6010173.25</v>
      </c>
      <c r="E25" s="274"/>
      <c r="F25" s="274">
        <f t="shared" ref="F25:F26" si="9">D25+E25</f>
        <v>6010173.25</v>
      </c>
      <c r="G25" s="274"/>
      <c r="H25" s="274"/>
      <c r="I25" s="274"/>
      <c r="J25" s="274"/>
      <c r="K25" s="274"/>
      <c r="L25" s="274">
        <f>SUM(F25:I25)</f>
        <v>6010173.25</v>
      </c>
      <c r="M25" s="433"/>
      <c r="N25" s="173"/>
    </row>
    <row r="26" spans="1:16" s="116" customFormat="1" ht="18.75">
      <c r="A26" s="116" t="s">
        <v>793</v>
      </c>
      <c r="B26" s="274"/>
      <c r="C26" s="274"/>
      <c r="D26" s="274"/>
      <c r="E26" s="274">
        <f>E20</f>
        <v>9458023.1300000008</v>
      </c>
      <c r="F26" s="274">
        <f t="shared" si="9"/>
        <v>9458023.1300000008</v>
      </c>
      <c r="G26" s="274">
        <f>G20</f>
        <v>252023.67999999999</v>
      </c>
      <c r="H26" s="274"/>
      <c r="I26" s="274"/>
      <c r="J26" s="274"/>
      <c r="K26" s="274"/>
      <c r="L26" s="274">
        <f>SUM(F26:I26)</f>
        <v>9710046.8100000005</v>
      </c>
      <c r="M26" s="433"/>
      <c r="N26" s="173"/>
    </row>
    <row r="27" spans="1:16" s="116" customFormat="1" ht="18.75">
      <c r="A27" s="116" t="s">
        <v>629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173"/>
      <c r="N27" s="173"/>
    </row>
    <row r="28" spans="1:16" s="116" customFormat="1" ht="18.75"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173"/>
      <c r="N28" s="274"/>
    </row>
    <row r="29" spans="1:16" s="275" customFormat="1">
      <c r="A29" s="275" t="s">
        <v>581</v>
      </c>
      <c r="B29" s="276">
        <f>B30+B31</f>
        <v>5894439.9600000009</v>
      </c>
      <c r="C29" s="276">
        <f>C30+C31</f>
        <v>235763.19999999998</v>
      </c>
      <c r="D29" s="276">
        <f>D30+D31</f>
        <v>6130203.1600000001</v>
      </c>
      <c r="E29" s="276">
        <f>E30+E31</f>
        <v>9458023.1300000008</v>
      </c>
      <c r="F29" s="276">
        <f t="shared" ref="F29:F31" si="10">D29+E29</f>
        <v>15588226.290000001</v>
      </c>
      <c r="G29" s="276">
        <f>G30+G31</f>
        <v>252023.67999999999</v>
      </c>
      <c r="H29" s="276">
        <f t="shared" ref="H29:L29" si="11">H30+H31</f>
        <v>329831.20000000007</v>
      </c>
      <c r="I29" s="276">
        <f t="shared" si="11"/>
        <v>-57029.01</v>
      </c>
      <c r="J29" s="276"/>
      <c r="K29" s="276"/>
      <c r="L29" s="276">
        <f t="shared" si="11"/>
        <v>16113052.16</v>
      </c>
      <c r="M29" s="276">
        <f t="shared" ref="M29:N29" si="12">M30+M31</f>
        <v>0</v>
      </c>
      <c r="N29" s="276">
        <f t="shared" si="12"/>
        <v>0</v>
      </c>
      <c r="O29" s="318"/>
    </row>
    <row r="30" spans="1:16" s="116" customFormat="1" ht="18.75">
      <c r="A30" s="116" t="s">
        <v>792</v>
      </c>
      <c r="B30" s="274">
        <f>B20</f>
        <v>5894439.9600000009</v>
      </c>
      <c r="C30" s="274">
        <f>C20</f>
        <v>235763.19999999998</v>
      </c>
      <c r="D30" s="274">
        <f>D20</f>
        <v>6130203.1600000001</v>
      </c>
      <c r="E30" s="274"/>
      <c r="F30" s="274">
        <f t="shared" si="10"/>
        <v>6130203.1600000001</v>
      </c>
      <c r="G30" s="274"/>
      <c r="H30" s="274">
        <f>H20</f>
        <v>329831.20000000007</v>
      </c>
      <c r="I30" s="274">
        <f>I20</f>
        <v>-57029.01</v>
      </c>
      <c r="J30" s="274"/>
      <c r="K30" s="274"/>
      <c r="L30" s="274">
        <f>SUM(F30:I30)</f>
        <v>6403005.3500000006</v>
      </c>
      <c r="M30" s="433"/>
      <c r="N30" s="173"/>
      <c r="O30" s="343" t="e">
        <f>#REF!-#REF!</f>
        <v>#REF!</v>
      </c>
      <c r="P30" s="343"/>
    </row>
    <row r="31" spans="1:16" s="116" customFormat="1" ht="18.75">
      <c r="A31" s="116" t="s">
        <v>793</v>
      </c>
      <c r="B31" s="274"/>
      <c r="C31" s="274"/>
      <c r="D31" s="274"/>
      <c r="E31" s="274">
        <f>E20</f>
        <v>9458023.1300000008</v>
      </c>
      <c r="F31" s="274">
        <f t="shared" si="10"/>
        <v>9458023.1300000008</v>
      </c>
      <c r="G31" s="274">
        <f>G20</f>
        <v>252023.67999999999</v>
      </c>
      <c r="H31" s="274"/>
      <c r="I31" s="274"/>
      <c r="J31" s="274"/>
      <c r="K31" s="274"/>
      <c r="L31" s="274">
        <f>SUM(F31:I31)</f>
        <v>9710046.8100000005</v>
      </c>
      <c r="M31" s="433"/>
      <c r="N31" s="173"/>
    </row>
    <row r="32" spans="1:16" s="116" customFormat="1" ht="18.75">
      <c r="A32" s="116" t="s">
        <v>629</v>
      </c>
      <c r="B32" s="274">
        <f>B29-B30-B31</f>
        <v>0</v>
      </c>
      <c r="C32" s="274">
        <f>C29-C30-C31</f>
        <v>0</v>
      </c>
      <c r="D32" s="274"/>
      <c r="E32" s="274">
        <f>E29-E30-E31</f>
        <v>0</v>
      </c>
      <c r="F32" s="274"/>
      <c r="G32" s="274"/>
      <c r="H32" s="274"/>
      <c r="I32" s="274"/>
      <c r="J32" s="274"/>
      <c r="K32" s="274"/>
      <c r="L32" s="274"/>
      <c r="M32" s="173"/>
      <c r="N32" s="173"/>
    </row>
    <row r="33" spans="1:16" s="133" customFormat="1" ht="18.75">
      <c r="A33" s="11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  <row r="34" spans="1:16" s="279" customFormat="1">
      <c r="A34" s="279" t="s">
        <v>582</v>
      </c>
      <c r="B34" s="280">
        <f>B24-B29</f>
        <v>-5894439.9600000009</v>
      </c>
      <c r="C34" s="280">
        <f>C24-C29</f>
        <v>-235763.19999999998</v>
      </c>
      <c r="D34" s="280">
        <f>D24-D29</f>
        <v>-120029.91000000015</v>
      </c>
      <c r="E34" s="280">
        <f t="shared" ref="E34:F34" si="13">E24-E29</f>
        <v>0</v>
      </c>
      <c r="F34" s="280">
        <f t="shared" si="13"/>
        <v>-120029.91000000015</v>
      </c>
      <c r="G34" s="280">
        <f>G24-G29</f>
        <v>0</v>
      </c>
      <c r="H34" s="280">
        <f t="shared" ref="H34:L34" si="14">H24-H29</f>
        <v>-329831.20000000007</v>
      </c>
      <c r="I34" s="280">
        <f t="shared" si="14"/>
        <v>57029.01</v>
      </c>
      <c r="J34" s="280"/>
      <c r="K34" s="280"/>
      <c r="L34" s="280">
        <f t="shared" si="14"/>
        <v>-392832.09999999963</v>
      </c>
      <c r="M34" s="280">
        <f t="shared" ref="M34" si="15">M24-M29</f>
        <v>0</v>
      </c>
      <c r="N34" s="353">
        <f>N35*-1</f>
        <v>0</v>
      </c>
      <c r="P34" s="281"/>
    </row>
    <row r="35" spans="1:16" ht="27" customHeight="1">
      <c r="A35" s="352" t="s">
        <v>835</v>
      </c>
      <c r="B35" s="353">
        <f>SUM(B36:B37)</f>
        <v>0</v>
      </c>
      <c r="C35" s="353">
        <f>SUM(C36:C37)</f>
        <v>0</v>
      </c>
      <c r="D35" s="353">
        <f>D36+D39+D38</f>
        <v>-120029.91000000015</v>
      </c>
      <c r="E35" s="353">
        <f t="shared" ref="E35:F35" si="16">E36+E39+E38</f>
        <v>0</v>
      </c>
      <c r="F35" s="353">
        <f t="shared" si="16"/>
        <v>-120029.91000000015</v>
      </c>
      <c r="G35" s="353">
        <f>G36+G37</f>
        <v>0</v>
      </c>
      <c r="H35" s="353">
        <f>H36+H37</f>
        <v>-272126.39999999997</v>
      </c>
      <c r="I35" s="353">
        <f t="shared" ref="I35" si="17">I36+I37</f>
        <v>0</v>
      </c>
      <c r="J35" s="353"/>
      <c r="K35" s="353"/>
      <c r="L35" s="353">
        <f>L36+L37</f>
        <v>-392156.31000000011</v>
      </c>
      <c r="M35" s="353">
        <f t="shared" ref="M35" si="18">M36+M39+M38</f>
        <v>0</v>
      </c>
      <c r="N35" s="353">
        <f>N36+N37</f>
        <v>0</v>
      </c>
    </row>
    <row r="36" spans="1:16" ht="18.75">
      <c r="A36" s="130" t="s">
        <v>834</v>
      </c>
      <c r="B36" s="164">
        <v>0</v>
      </c>
      <c r="C36" s="164"/>
      <c r="D36" s="274">
        <f>D34</f>
        <v>-120029.91000000015</v>
      </c>
      <c r="E36" s="274">
        <f t="shared" ref="E36:F36" si="19">E34</f>
        <v>0</v>
      </c>
      <c r="F36" s="274">
        <f t="shared" si="19"/>
        <v>-120029.91000000015</v>
      </c>
      <c r="G36" s="274"/>
      <c r="H36" s="274"/>
      <c r="I36" s="274"/>
      <c r="J36" s="274"/>
      <c r="K36" s="274"/>
      <c r="L36" s="274">
        <f t="shared" ref="L36:L37" si="20">SUM(F36:I36)</f>
        <v>-120029.91000000015</v>
      </c>
      <c r="M36" s="433"/>
      <c r="N36" s="173"/>
    </row>
    <row r="37" spans="1:16" ht="18.75">
      <c r="A37" s="130" t="s">
        <v>1115</v>
      </c>
      <c r="B37" s="5">
        <v>0</v>
      </c>
      <c r="D37" s="274">
        <f>B37+C37</f>
        <v>0</v>
      </c>
      <c r="E37" s="274">
        <f t="shared" ref="E37" si="21">C37+D37</f>
        <v>0</v>
      </c>
      <c r="F37" s="274">
        <f>D37+E37</f>
        <v>0</v>
      </c>
      <c r="G37" s="274"/>
      <c r="H37" s="274">
        <f>-(105000+121492.42+24862.31+3637.44+17134.23)</f>
        <v>-272126.39999999997</v>
      </c>
      <c r="I37" s="274"/>
      <c r="J37" s="274"/>
      <c r="K37" s="274"/>
      <c r="L37" s="274">
        <f t="shared" si="20"/>
        <v>-272126.39999999997</v>
      </c>
      <c r="M37" s="433"/>
      <c r="N37" s="173"/>
    </row>
    <row r="38" spans="1:16">
      <c r="A38" s="270" t="s">
        <v>873</v>
      </c>
    </row>
    <row r="39" spans="1:16">
      <c r="A39" s="270" t="s">
        <v>839</v>
      </c>
      <c r="B39" s="5">
        <f>ROUND(B38*2.5/97.5,2)</f>
        <v>0</v>
      </c>
    </row>
    <row r="40" spans="1:16" s="133" customFormat="1">
      <c r="A40" s="133" t="s">
        <v>598</v>
      </c>
      <c r="B40" s="206">
        <f>B38+B39</f>
        <v>0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5"/>
    </row>
  </sheetData>
  <pageMargins left="0.35433070866141736" right="0.15748031496062992" top="0.23622047244094491" bottom="0.23622047244094491" header="0.19685039370078741" footer="0.35433070866141736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rgb="FF00B050"/>
    <pageSetUpPr fitToPage="1"/>
  </sheetPr>
  <dimension ref="A1:Q41"/>
  <sheetViews>
    <sheetView view="pageBreakPreview" zoomScale="85" zoomScaleNormal="75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7" sqref="I7"/>
    </sheetView>
  </sheetViews>
  <sheetFormatPr defaultRowHeight="18"/>
  <cols>
    <col min="1" max="1" width="9.7265625" customWidth="1"/>
    <col min="2" max="5" width="11.7265625" style="5" customWidth="1"/>
    <col min="6" max="7" width="12.26953125" style="5" customWidth="1"/>
    <col min="8" max="9" width="11.7265625" style="5" customWidth="1"/>
    <col min="10" max="10" width="12.26953125" style="5" customWidth="1"/>
    <col min="11" max="11" width="14" style="5" customWidth="1"/>
    <col min="12" max="12" width="11" style="5" customWidth="1"/>
    <col min="13" max="13" width="0" hidden="1" customWidth="1"/>
    <col min="14" max="14" width="8.1796875" hidden="1" customWidth="1"/>
    <col min="15" max="15" width="12.81640625" style="5" hidden="1" customWidth="1"/>
    <col min="16" max="16" width="16.81640625" customWidth="1"/>
    <col min="17" max="17" width="13.90625" customWidth="1"/>
  </cols>
  <sheetData>
    <row r="1" spans="1:17">
      <c r="A1">
        <v>2024</v>
      </c>
      <c r="O1" s="5" t="s">
        <v>215</v>
      </c>
    </row>
    <row r="2" spans="1:17" s="130" customFormat="1" ht="102.75" customHeight="1">
      <c r="A2" s="226" t="s">
        <v>220</v>
      </c>
      <c r="B2" s="436" t="s">
        <v>1033</v>
      </c>
      <c r="C2" s="226" t="s">
        <v>1137</v>
      </c>
      <c r="D2" s="436" t="s">
        <v>1033</v>
      </c>
      <c r="E2" s="226" t="s">
        <v>643</v>
      </c>
      <c r="F2" s="436" t="str">
        <f>'ГРБС 2023'!F2</f>
        <v>ПРОЕКТ решения
(09 11 2022)</v>
      </c>
      <c r="G2" s="226" t="s">
        <v>1247</v>
      </c>
      <c r="H2" s="462" t="s">
        <v>1267</v>
      </c>
      <c r="I2" s="436" t="s">
        <v>1268</v>
      </c>
      <c r="J2" s="462" t="s">
        <v>1114</v>
      </c>
      <c r="K2" s="436" t="s">
        <v>64</v>
      </c>
      <c r="L2" s="459" t="s">
        <v>65</v>
      </c>
      <c r="M2" s="227"/>
      <c r="N2" s="228" t="s">
        <v>63</v>
      </c>
      <c r="O2" s="228" t="s">
        <v>64</v>
      </c>
      <c r="P2" s="366" t="s">
        <v>1110</v>
      </c>
      <c r="Q2" s="367" t="s">
        <v>1111</v>
      </c>
    </row>
    <row r="3" spans="1:17" ht="21" customHeight="1">
      <c r="A3" s="8">
        <v>600</v>
      </c>
      <c r="B3" s="162"/>
      <c r="C3" s="8"/>
      <c r="D3" s="435">
        <v>56474.689999999995</v>
      </c>
      <c r="E3" s="434">
        <v>0</v>
      </c>
      <c r="F3" s="435">
        <f>SUM(D3:E3)</f>
        <v>56474.689999999995</v>
      </c>
      <c r="G3" s="434">
        <v>156.65</v>
      </c>
      <c r="H3" s="434">
        <v>0</v>
      </c>
      <c r="I3" s="435"/>
      <c r="J3" s="434">
        <f>SUM(F3:I3)</f>
        <v>56631.34</v>
      </c>
      <c r="K3" s="435">
        <f>'Вед-я стр-ра'!I5</f>
        <v>56631.340000000004</v>
      </c>
      <c r="L3" s="460">
        <f>J3-K3</f>
        <v>0</v>
      </c>
      <c r="M3" s="162">
        <f>K3-L3</f>
        <v>56631.340000000004</v>
      </c>
      <c r="N3" s="162">
        <f>L3-M3</f>
        <v>-56631.340000000004</v>
      </c>
      <c r="O3" s="162">
        <f>M3-N3</f>
        <v>113262.68000000001</v>
      </c>
      <c r="P3" s="448" t="e">
        <f>B3+#REF!</f>
        <v>#REF!</v>
      </c>
      <c r="Q3" s="448">
        <f t="shared" ref="Q3:Q20" si="0">C3+E3</f>
        <v>0</v>
      </c>
    </row>
    <row r="4" spans="1:17">
      <c r="A4" s="8">
        <v>601</v>
      </c>
      <c r="B4" s="162"/>
      <c r="C4" s="120"/>
      <c r="D4" s="435">
        <v>230622.63999999998</v>
      </c>
      <c r="E4" s="434">
        <v>13421.39</v>
      </c>
      <c r="F4" s="435">
        <f t="shared" ref="F4:F19" si="1">SUM(D4:E4)</f>
        <v>244044.02999999997</v>
      </c>
      <c r="G4" s="434">
        <v>930.8</v>
      </c>
      <c r="H4" s="434">
        <v>0</v>
      </c>
      <c r="I4" s="435"/>
      <c r="J4" s="434">
        <f t="shared" ref="J4:J19" si="2">SUM(F4:I4)</f>
        <v>244974.82999999996</v>
      </c>
      <c r="K4" s="435">
        <f>'Вед-я стр-ра'!I37</f>
        <v>244974.83000000002</v>
      </c>
      <c r="L4" s="460">
        <f t="shared" ref="L4:L20" si="3">J4-K4</f>
        <v>0</v>
      </c>
      <c r="M4" s="162"/>
      <c r="N4" s="120">
        <v>601</v>
      </c>
      <c r="O4" s="6">
        <v>224281.33</v>
      </c>
      <c r="P4" s="448" t="e">
        <f>B4+#REF!</f>
        <v>#REF!</v>
      </c>
      <c r="Q4" s="448">
        <f t="shared" si="0"/>
        <v>13421.39</v>
      </c>
    </row>
    <row r="5" spans="1:17">
      <c r="A5" s="8">
        <v>602</v>
      </c>
      <c r="B5" s="162"/>
      <c r="C5" s="120"/>
      <c r="D5" s="435">
        <v>113616.10999999999</v>
      </c>
      <c r="E5" s="434">
        <v>16884.45</v>
      </c>
      <c r="F5" s="435">
        <f t="shared" si="1"/>
        <v>130500.55999999998</v>
      </c>
      <c r="G5" s="434"/>
      <c r="H5" s="434">
        <v>-1662.5</v>
      </c>
      <c r="I5" s="435"/>
      <c r="J5" s="434">
        <f t="shared" si="2"/>
        <v>128838.05999999998</v>
      </c>
      <c r="K5" s="435">
        <f>'Вед-я стр-ра'!I164</f>
        <v>128838.06000000001</v>
      </c>
      <c r="L5" s="460">
        <f t="shared" si="3"/>
        <v>0</v>
      </c>
      <c r="M5" s="162"/>
      <c r="N5" s="120">
        <v>602</v>
      </c>
      <c r="O5" s="6">
        <v>78462.720000000001</v>
      </c>
      <c r="P5" s="448" t="e">
        <f>B5+#REF!</f>
        <v>#REF!</v>
      </c>
      <c r="Q5" s="448">
        <f t="shared" si="0"/>
        <v>16884.45</v>
      </c>
    </row>
    <row r="6" spans="1:17">
      <c r="A6" s="8">
        <v>604</v>
      </c>
      <c r="B6" s="162"/>
      <c r="C6" s="8"/>
      <c r="D6" s="435">
        <v>375979.42</v>
      </c>
      <c r="E6" s="434">
        <v>0</v>
      </c>
      <c r="F6" s="435">
        <f t="shared" si="1"/>
        <v>375979.42</v>
      </c>
      <c r="G6" s="434">
        <f>-17386.61-156.65</f>
        <v>-17543.260000000002</v>
      </c>
      <c r="H6" s="434">
        <v>0</v>
      </c>
      <c r="I6" s="435">
        <v>-7152.75</v>
      </c>
      <c r="J6" s="434">
        <f t="shared" si="2"/>
        <v>351283.41</v>
      </c>
      <c r="K6" s="435">
        <f>'Вед-я стр-ра'!I207</f>
        <v>351283.41</v>
      </c>
      <c r="L6" s="460">
        <f t="shared" si="3"/>
        <v>0</v>
      </c>
      <c r="M6" s="162"/>
      <c r="N6" s="120">
        <v>604</v>
      </c>
      <c r="O6" s="6">
        <v>132321.25</v>
      </c>
      <c r="P6" s="448" t="e">
        <f>B6+#REF!</f>
        <v>#REF!</v>
      </c>
      <c r="Q6" s="448">
        <f t="shared" si="0"/>
        <v>0</v>
      </c>
    </row>
    <row r="7" spans="1:17">
      <c r="A7" s="8">
        <v>605</v>
      </c>
      <c r="B7" s="162"/>
      <c r="C7" s="8"/>
      <c r="D7" s="435">
        <v>174221.08000000002</v>
      </c>
      <c r="E7" s="434">
        <v>0</v>
      </c>
      <c r="F7" s="435">
        <f t="shared" si="1"/>
        <v>174221.08000000002</v>
      </c>
      <c r="G7" s="434">
        <v>25.43</v>
      </c>
      <c r="H7" s="434">
        <v>0</v>
      </c>
      <c r="I7" s="435"/>
      <c r="J7" s="434">
        <f t="shared" si="2"/>
        <v>174246.51</v>
      </c>
      <c r="K7" s="435">
        <f>'Вед-я стр-ра'!I238</f>
        <v>174246.50999999998</v>
      </c>
      <c r="L7" s="460">
        <f t="shared" si="3"/>
        <v>0</v>
      </c>
      <c r="M7" s="162"/>
      <c r="N7" s="120">
        <v>605</v>
      </c>
      <c r="O7" s="6">
        <v>27727</v>
      </c>
      <c r="P7" s="448" t="e">
        <f>B7+#REF!</f>
        <v>#REF!</v>
      </c>
      <c r="Q7" s="448">
        <f t="shared" si="0"/>
        <v>0</v>
      </c>
    </row>
    <row r="8" spans="1:17">
      <c r="A8" s="8">
        <v>606</v>
      </c>
      <c r="B8" s="162"/>
      <c r="C8" s="8"/>
      <c r="D8" s="435">
        <v>2670052.67</v>
      </c>
      <c r="E8" s="434">
        <v>3368225.88</v>
      </c>
      <c r="F8" s="435">
        <f t="shared" si="1"/>
        <v>6038278.5499999998</v>
      </c>
      <c r="G8" s="434">
        <v>28214.959999999999</v>
      </c>
      <c r="H8" s="434">
        <v>633935.65</v>
      </c>
      <c r="I8" s="435">
        <v>8350.26</v>
      </c>
      <c r="J8" s="434">
        <f t="shared" si="2"/>
        <v>6708779.4199999999</v>
      </c>
      <c r="K8" s="435">
        <f>'Вед-я стр-ра'!I318</f>
        <v>6708779.4199999999</v>
      </c>
      <c r="L8" s="460">
        <f t="shared" si="3"/>
        <v>0</v>
      </c>
      <c r="M8" s="162"/>
      <c r="N8" s="120">
        <v>606</v>
      </c>
      <c r="O8" s="6">
        <v>3011538.7699999996</v>
      </c>
      <c r="P8" s="448" t="e">
        <f>B8+#REF!</f>
        <v>#REF!</v>
      </c>
      <c r="Q8" s="448">
        <f t="shared" si="0"/>
        <v>3368225.88</v>
      </c>
    </row>
    <row r="9" spans="1:17">
      <c r="A9" s="8">
        <v>607</v>
      </c>
      <c r="B9" s="162"/>
      <c r="C9" s="8"/>
      <c r="D9" s="435">
        <v>644752.32999999996</v>
      </c>
      <c r="E9" s="434">
        <v>25275.66</v>
      </c>
      <c r="F9" s="435">
        <f t="shared" si="1"/>
        <v>670027.99</v>
      </c>
      <c r="G9" s="434">
        <v>1384.22</v>
      </c>
      <c r="H9" s="434">
        <v>-22752.66</v>
      </c>
      <c r="I9" s="435">
        <v>-1197.51</v>
      </c>
      <c r="J9" s="434">
        <f t="shared" si="2"/>
        <v>647462.03999999992</v>
      </c>
      <c r="K9" s="435">
        <f>'Вед-я стр-ра'!I507</f>
        <v>647462.04</v>
      </c>
      <c r="L9" s="460">
        <f t="shared" si="3"/>
        <v>0</v>
      </c>
      <c r="M9" s="162"/>
      <c r="N9" s="120">
        <v>607</v>
      </c>
      <c r="O9" s="6">
        <v>263470.93</v>
      </c>
      <c r="P9" s="448" t="e">
        <f>B9+#REF!</f>
        <v>#REF!</v>
      </c>
      <c r="Q9" s="448">
        <f t="shared" si="0"/>
        <v>25275.66</v>
      </c>
    </row>
    <row r="10" spans="1:17">
      <c r="A10" s="8">
        <v>609</v>
      </c>
      <c r="B10" s="162"/>
      <c r="C10" s="434"/>
      <c r="D10" s="435">
        <v>70634.449999999983</v>
      </c>
      <c r="E10" s="434">
        <v>2215766.09</v>
      </c>
      <c r="F10" s="435">
        <f t="shared" si="1"/>
        <v>2286400.54</v>
      </c>
      <c r="G10" s="434"/>
      <c r="H10" s="434">
        <v>4544.32</v>
      </c>
      <c r="I10" s="435"/>
      <c r="J10" s="434">
        <f t="shared" si="2"/>
        <v>2290944.86</v>
      </c>
      <c r="K10" s="435">
        <f>'Вед-я стр-ра'!I653</f>
        <v>2290944.86</v>
      </c>
      <c r="L10" s="460">
        <f t="shared" si="3"/>
        <v>0</v>
      </c>
      <c r="M10" s="162"/>
      <c r="N10" s="120">
        <v>609</v>
      </c>
      <c r="O10" s="6">
        <v>1694405.2700000003</v>
      </c>
      <c r="P10" s="448" t="e">
        <f>B10+#REF!</f>
        <v>#REF!</v>
      </c>
      <c r="Q10" s="448">
        <f t="shared" si="0"/>
        <v>2215766.09</v>
      </c>
    </row>
    <row r="11" spans="1:17">
      <c r="A11" s="8">
        <v>611</v>
      </c>
      <c r="B11" s="162"/>
      <c r="C11" s="8"/>
      <c r="D11" s="435">
        <v>246583.20999999996</v>
      </c>
      <c r="E11" s="434">
        <v>0</v>
      </c>
      <c r="F11" s="435">
        <f t="shared" si="1"/>
        <v>246583.20999999996</v>
      </c>
      <c r="G11" s="434">
        <v>1655.05</v>
      </c>
      <c r="H11" s="434"/>
      <c r="I11" s="435"/>
      <c r="J11" s="434">
        <f t="shared" si="2"/>
        <v>248238.25999999995</v>
      </c>
      <c r="K11" s="435">
        <f>'Вед-я стр-ра'!I818</f>
        <v>248238.25999999998</v>
      </c>
      <c r="L11" s="460">
        <f t="shared" si="3"/>
        <v>0</v>
      </c>
      <c r="M11" s="162"/>
      <c r="N11" s="120">
        <v>611</v>
      </c>
      <c r="O11" s="6">
        <v>201752.23</v>
      </c>
      <c r="P11" s="448" t="e">
        <f>B11+#REF!</f>
        <v>#REF!</v>
      </c>
      <c r="Q11" s="448">
        <f t="shared" si="0"/>
        <v>0</v>
      </c>
    </row>
    <row r="12" spans="1:17">
      <c r="A12" s="8">
        <v>617</v>
      </c>
      <c r="B12" s="162"/>
      <c r="C12" s="8"/>
      <c r="D12" s="435">
        <f>175653.85+38.19</f>
        <v>175692.04</v>
      </c>
      <c r="E12" s="434">
        <v>12452.03</v>
      </c>
      <c r="F12" s="435">
        <f t="shared" si="1"/>
        <v>188144.07</v>
      </c>
      <c r="G12" s="434"/>
      <c r="H12" s="434">
        <v>-0.18</v>
      </c>
      <c r="I12" s="435"/>
      <c r="J12" s="434">
        <f t="shared" si="2"/>
        <v>188143.89</v>
      </c>
      <c r="K12" s="435">
        <f>'Вед-я стр-ра'!I898</f>
        <v>188143.88999999998</v>
      </c>
      <c r="L12" s="460">
        <f t="shared" si="3"/>
        <v>0</v>
      </c>
      <c r="M12" s="162"/>
      <c r="N12" s="120">
        <v>617</v>
      </c>
      <c r="O12" s="6">
        <v>112115.18999999999</v>
      </c>
      <c r="P12" s="448" t="e">
        <f>B12+#REF!</f>
        <v>#REF!</v>
      </c>
      <c r="Q12" s="448">
        <f t="shared" si="0"/>
        <v>12452.03</v>
      </c>
    </row>
    <row r="13" spans="1:17">
      <c r="A13" s="8">
        <v>618</v>
      </c>
      <c r="B13" s="162"/>
      <c r="C13" s="434"/>
      <c r="D13" s="435">
        <f>153718.79+29.4</f>
        <v>153748.19</v>
      </c>
      <c r="E13" s="434">
        <v>10243.43</v>
      </c>
      <c r="F13" s="435">
        <f t="shared" si="1"/>
        <v>163991.62</v>
      </c>
      <c r="G13" s="434"/>
      <c r="H13" s="434">
        <v>-0.18</v>
      </c>
      <c r="I13" s="435"/>
      <c r="J13" s="434">
        <f t="shared" si="2"/>
        <v>163991.44</v>
      </c>
      <c r="K13" s="435">
        <f>'Вед-я стр-ра'!I970</f>
        <v>163991.44</v>
      </c>
      <c r="L13" s="460">
        <f t="shared" si="3"/>
        <v>0</v>
      </c>
      <c r="M13" s="162"/>
      <c r="N13" s="120">
        <v>618</v>
      </c>
      <c r="O13" s="6">
        <v>103272.96000000001</v>
      </c>
      <c r="P13" s="448" t="e">
        <f>B13+#REF!</f>
        <v>#REF!</v>
      </c>
      <c r="Q13" s="448">
        <f t="shared" si="0"/>
        <v>10243.43</v>
      </c>
    </row>
    <row r="14" spans="1:17">
      <c r="A14" s="8">
        <v>619</v>
      </c>
      <c r="B14" s="162"/>
      <c r="C14" s="434"/>
      <c r="D14" s="435">
        <f>296902.16-10.72</f>
        <v>296891.44</v>
      </c>
      <c r="E14" s="434">
        <v>4383.25</v>
      </c>
      <c r="F14" s="435">
        <f t="shared" si="1"/>
        <v>301274.69</v>
      </c>
      <c r="G14" s="434"/>
      <c r="H14" s="434">
        <v>-0.2</v>
      </c>
      <c r="I14" s="435"/>
      <c r="J14" s="434">
        <f t="shared" si="2"/>
        <v>301274.49</v>
      </c>
      <c r="K14" s="435">
        <f>'Вед-я стр-ра'!I1032</f>
        <v>301274.49</v>
      </c>
      <c r="L14" s="460">
        <f t="shared" si="3"/>
        <v>0</v>
      </c>
      <c r="M14" s="162"/>
      <c r="N14" s="120">
        <v>619</v>
      </c>
      <c r="O14" s="6">
        <v>154418.07</v>
      </c>
      <c r="P14" s="448" t="e">
        <f>B14+#REF!</f>
        <v>#REF!</v>
      </c>
      <c r="Q14" s="448">
        <f t="shared" si="0"/>
        <v>4383.25</v>
      </c>
    </row>
    <row r="15" spans="1:17">
      <c r="A15" s="8">
        <v>620</v>
      </c>
      <c r="B15" s="162"/>
      <c r="C15" s="434"/>
      <c r="D15" s="435">
        <v>502086.01</v>
      </c>
      <c r="E15" s="434">
        <v>35320.730000000003</v>
      </c>
      <c r="F15" s="435">
        <f t="shared" si="1"/>
        <v>537406.74</v>
      </c>
      <c r="G15" s="434">
        <v>135.69</v>
      </c>
      <c r="H15" s="434">
        <v>0</v>
      </c>
      <c r="I15" s="435"/>
      <c r="J15" s="434">
        <f t="shared" si="2"/>
        <v>537542.42999999993</v>
      </c>
      <c r="K15" s="435">
        <f>'Вед-я стр-ра'!I1102</f>
        <v>537542.43000000005</v>
      </c>
      <c r="L15" s="460">
        <f t="shared" si="3"/>
        <v>0</v>
      </c>
      <c r="M15" s="162"/>
      <c r="N15" s="120">
        <v>620</v>
      </c>
      <c r="O15" s="6">
        <v>1383439.3100000003</v>
      </c>
      <c r="P15" s="448" t="e">
        <f>B15+#REF!</f>
        <v>#REF!</v>
      </c>
      <c r="Q15" s="448">
        <f t="shared" si="0"/>
        <v>35320.730000000003</v>
      </c>
    </row>
    <row r="16" spans="1:17">
      <c r="A16" s="8">
        <v>621</v>
      </c>
      <c r="B16" s="162"/>
      <c r="C16" s="434"/>
      <c r="D16" s="435">
        <v>124865.93996000002</v>
      </c>
      <c r="E16" s="434">
        <v>2064298.58</v>
      </c>
      <c r="F16" s="435">
        <f t="shared" si="1"/>
        <v>2189164.5199600002</v>
      </c>
      <c r="G16" s="434"/>
      <c r="H16" s="434">
        <v>0</v>
      </c>
      <c r="I16" s="435"/>
      <c r="J16" s="434">
        <f t="shared" si="2"/>
        <v>2189164.5199600002</v>
      </c>
      <c r="K16" s="435">
        <f>'Вед-я стр-ра'!I1242</f>
        <v>2189164.52</v>
      </c>
      <c r="L16" s="460">
        <f t="shared" si="3"/>
        <v>-3.9999838918447495E-5</v>
      </c>
      <c r="M16" s="162"/>
      <c r="N16" s="120">
        <v>621</v>
      </c>
      <c r="O16" s="6">
        <v>227341.81999999998</v>
      </c>
      <c r="P16" s="448" t="e">
        <f>B16+#REF!</f>
        <v>#REF!</v>
      </c>
      <c r="Q16" s="448">
        <f t="shared" si="0"/>
        <v>2064298.58</v>
      </c>
    </row>
    <row r="17" spans="1:17">
      <c r="A17" s="8">
        <v>624</v>
      </c>
      <c r="B17" s="162"/>
      <c r="C17" s="8"/>
      <c r="D17" s="435">
        <v>126620.46999999999</v>
      </c>
      <c r="E17" s="434">
        <v>0</v>
      </c>
      <c r="F17" s="435">
        <f t="shared" si="1"/>
        <v>126620.46999999999</v>
      </c>
      <c r="G17" s="434">
        <v>40.46</v>
      </c>
      <c r="H17" s="434">
        <v>0</v>
      </c>
      <c r="I17" s="435"/>
      <c r="J17" s="434">
        <f t="shared" si="2"/>
        <v>126660.93</v>
      </c>
      <c r="K17" s="435">
        <f>'Вед-я стр-ра'!I1322</f>
        <v>126660.93</v>
      </c>
      <c r="L17" s="460">
        <f t="shared" si="3"/>
        <v>0</v>
      </c>
      <c r="M17" s="162"/>
      <c r="N17" s="120">
        <v>624</v>
      </c>
      <c r="O17" s="6">
        <v>96687.72</v>
      </c>
      <c r="P17" s="448" t="e">
        <f>B17+#REF!</f>
        <v>#REF!</v>
      </c>
      <c r="Q17" s="448">
        <f t="shared" si="0"/>
        <v>0</v>
      </c>
    </row>
    <row r="18" spans="1:17">
      <c r="A18" s="8">
        <v>643</v>
      </c>
      <c r="B18" s="162"/>
      <c r="C18" s="8"/>
      <c r="D18" s="435">
        <v>19586.29</v>
      </c>
      <c r="E18" s="434">
        <v>0</v>
      </c>
      <c r="F18" s="435">
        <f t="shared" si="1"/>
        <v>19586.29</v>
      </c>
      <c r="G18" s="434"/>
      <c r="H18" s="434">
        <v>0</v>
      </c>
      <c r="I18" s="435"/>
      <c r="J18" s="434">
        <f t="shared" si="2"/>
        <v>19586.29</v>
      </c>
      <c r="K18" s="435">
        <f>'Вед-я стр-ра'!I1366</f>
        <v>19586.289999999997</v>
      </c>
      <c r="L18" s="460">
        <f t="shared" si="3"/>
        <v>0</v>
      </c>
      <c r="M18" s="162"/>
      <c r="N18" s="120"/>
      <c r="O18" s="6"/>
      <c r="P18" s="448" t="e">
        <f>B18+#REF!</f>
        <v>#REF!</v>
      </c>
      <c r="Q18" s="448">
        <f t="shared" si="0"/>
        <v>0</v>
      </c>
    </row>
    <row r="19" spans="1:17">
      <c r="A19" s="370" t="s">
        <v>839</v>
      </c>
      <c r="B19" s="162"/>
      <c r="C19" s="8"/>
      <c r="D19" s="162">
        <v>177555.3</v>
      </c>
      <c r="E19" s="434"/>
      <c r="F19" s="435">
        <f t="shared" si="1"/>
        <v>177555.3</v>
      </c>
      <c r="G19" s="434">
        <v>-15000</v>
      </c>
      <c r="H19" s="434">
        <v>0</v>
      </c>
      <c r="I19" s="435"/>
      <c r="J19" s="434">
        <f t="shared" si="2"/>
        <v>162555.29999999999</v>
      </c>
      <c r="K19" s="435">
        <f>'Вед-я стр-ра'!I1383</f>
        <v>162555.29999999999</v>
      </c>
      <c r="L19" s="460">
        <f t="shared" si="3"/>
        <v>0</v>
      </c>
      <c r="M19" s="162"/>
      <c r="N19" s="120"/>
      <c r="O19" s="364"/>
      <c r="P19" s="448" t="e">
        <f>B19+#REF!</f>
        <v>#REF!</v>
      </c>
      <c r="Q19" s="448">
        <f t="shared" si="0"/>
        <v>0</v>
      </c>
    </row>
    <row r="20" spans="1:17" s="119" customFormat="1">
      <c r="A20" s="9" t="s">
        <v>66</v>
      </c>
      <c r="B20" s="118">
        <f>SUM(B3:B19)</f>
        <v>0</v>
      </c>
      <c r="C20" s="118">
        <f>SUM(C3:C19)</f>
        <v>0</v>
      </c>
      <c r="D20" s="118">
        <f>SUM(D3:D19)</f>
        <v>6159982.27996</v>
      </c>
      <c r="E20" s="118">
        <f>SUM(E3:E19)</f>
        <v>7766271.4900000002</v>
      </c>
      <c r="F20" s="118">
        <f t="shared" ref="F20:J20" si="4">SUM(F3:F19)</f>
        <v>13926253.769959999</v>
      </c>
      <c r="G20" s="118">
        <f t="shared" si="4"/>
        <v>0</v>
      </c>
      <c r="H20" s="118">
        <f t="shared" ref="H20:I20" si="5">SUM(H3:H19)</f>
        <v>614064.24999999988</v>
      </c>
      <c r="I20" s="118">
        <f t="shared" si="5"/>
        <v>0</v>
      </c>
      <c r="J20" s="118">
        <f t="shared" si="4"/>
        <v>14540318.019960001</v>
      </c>
      <c r="K20" s="118">
        <f>SUM(K3:K19)</f>
        <v>14540318.02</v>
      </c>
      <c r="L20" s="460">
        <f t="shared" si="3"/>
        <v>-3.9998441934585571E-5</v>
      </c>
      <c r="M20" s="118">
        <f>SUM(M3:M18)</f>
        <v>56631.340000000004</v>
      </c>
      <c r="N20" s="118">
        <f>SUM(N3:N18)</f>
        <v>-48067.340000000004</v>
      </c>
      <c r="O20" s="365">
        <f>SUM(O3:O18)</f>
        <v>7824497.2500000019</v>
      </c>
      <c r="P20" s="447" t="e">
        <f>B20+#REF!</f>
        <v>#REF!</v>
      </c>
      <c r="Q20" s="368">
        <f t="shared" si="0"/>
        <v>7766271.4900000002</v>
      </c>
    </row>
    <row r="21" spans="1:17">
      <c r="B21" s="7"/>
      <c r="C21" s="7"/>
      <c r="D21" s="7"/>
      <c r="E21" s="7"/>
      <c r="F21" s="7"/>
      <c r="G21" s="7"/>
      <c r="H21" s="7"/>
      <c r="I21" s="7"/>
      <c r="J21" s="7"/>
    </row>
    <row r="23" spans="1:17">
      <c r="F23" s="181"/>
      <c r="G23" s="181"/>
      <c r="H23" s="181"/>
      <c r="I23" s="181"/>
      <c r="J23" s="181"/>
      <c r="L23" s="5" t="s">
        <v>633</v>
      </c>
    </row>
    <row r="24" spans="1:17">
      <c r="A24" s="277" t="s">
        <v>580</v>
      </c>
      <c r="B24" s="278">
        <f>B25+B26</f>
        <v>0</v>
      </c>
      <c r="C24" s="278">
        <f>C25+C26</f>
        <v>0</v>
      </c>
      <c r="D24" s="278">
        <f>D25+D26</f>
        <v>6109982.2800000003</v>
      </c>
      <c r="E24" s="278">
        <f>E25+E26</f>
        <v>7766271.4900000002</v>
      </c>
      <c r="F24" s="278">
        <f>F25+F26</f>
        <v>13876253.77</v>
      </c>
      <c r="G24" s="278">
        <f t="shared" ref="G24:J24" si="6">G25+G26</f>
        <v>0</v>
      </c>
      <c r="H24" s="278"/>
      <c r="I24" s="278"/>
      <c r="J24" s="278">
        <f t="shared" si="6"/>
        <v>13876253.77</v>
      </c>
      <c r="K24" s="278">
        <f t="shared" ref="K24" si="7">K25+K26</f>
        <v>0</v>
      </c>
      <c r="L24" s="278"/>
    </row>
    <row r="25" spans="1:17" ht="18.75">
      <c r="A25" s="116" t="s">
        <v>792</v>
      </c>
      <c r="B25" s="274"/>
      <c r="C25" s="274"/>
      <c r="D25" s="274">
        <v>6109982.2800000003</v>
      </c>
      <c r="E25" s="274"/>
      <c r="F25" s="274">
        <f>SUM(D25:E25)</f>
        <v>6109982.2800000003</v>
      </c>
      <c r="G25" s="433"/>
      <c r="H25" s="274"/>
      <c r="I25" s="274"/>
      <c r="J25" s="274">
        <f t="shared" ref="J25:J26" si="8">SUM(F25:G25)</f>
        <v>6109982.2800000003</v>
      </c>
      <c r="K25" s="173"/>
      <c r="L25" s="173"/>
    </row>
    <row r="26" spans="1:17" ht="18.75">
      <c r="A26" s="116" t="s">
        <v>793</v>
      </c>
      <c r="B26" s="274"/>
      <c r="C26" s="274"/>
      <c r="D26" s="274"/>
      <c r="E26" s="274">
        <f>E20</f>
        <v>7766271.4900000002</v>
      </c>
      <c r="F26" s="274">
        <f>SUM(D26:E26)</f>
        <v>7766271.4900000002</v>
      </c>
      <c r="G26" s="433"/>
      <c r="H26" s="274"/>
      <c r="I26" s="274"/>
      <c r="J26" s="274">
        <f t="shared" si="8"/>
        <v>7766271.4900000002</v>
      </c>
      <c r="K26" s="433"/>
      <c r="L26" s="173"/>
    </row>
    <row r="27" spans="1:17" ht="18.75">
      <c r="A27" s="116" t="s">
        <v>629</v>
      </c>
      <c r="B27" s="274"/>
      <c r="C27" s="274"/>
      <c r="D27" s="274"/>
      <c r="E27" s="274">
        <f>E24-E25-E26</f>
        <v>0</v>
      </c>
      <c r="F27" s="274"/>
      <c r="G27" s="274"/>
      <c r="H27" s="274"/>
      <c r="I27" s="274"/>
      <c r="J27" s="274"/>
      <c r="K27" s="173"/>
      <c r="L27" s="173"/>
    </row>
    <row r="28" spans="1:17" ht="18.75">
      <c r="A28" s="116"/>
      <c r="B28" s="274"/>
      <c r="C28" s="274"/>
      <c r="D28" s="274"/>
      <c r="E28" s="274"/>
      <c r="H28" s="274"/>
      <c r="I28" s="274"/>
      <c r="K28" s="173"/>
      <c r="L28" s="274"/>
      <c r="Q28" s="2"/>
    </row>
    <row r="29" spans="1:17">
      <c r="A29" s="275" t="s">
        <v>581</v>
      </c>
      <c r="B29" s="276">
        <f t="shared" ref="B29:J29" si="9">B30+B31</f>
        <v>0</v>
      </c>
      <c r="C29" s="276">
        <f t="shared" si="9"/>
        <v>0</v>
      </c>
      <c r="D29" s="276">
        <f t="shared" si="9"/>
        <v>6159982.27996</v>
      </c>
      <c r="E29" s="276">
        <f t="shared" si="9"/>
        <v>7766271.4900000002</v>
      </c>
      <c r="F29" s="276">
        <f t="shared" si="9"/>
        <v>13926253.769960001</v>
      </c>
      <c r="G29" s="276">
        <f t="shared" si="9"/>
        <v>0</v>
      </c>
      <c r="H29" s="276"/>
      <c r="I29" s="276"/>
      <c r="J29" s="276">
        <f t="shared" si="9"/>
        <v>13926253.769960001</v>
      </c>
      <c r="K29" s="276">
        <f t="shared" ref="K29" si="10">K30+K31</f>
        <v>0</v>
      </c>
      <c r="L29" s="276"/>
      <c r="M29" s="276">
        <f>SUM(M30:M31)</f>
        <v>100</v>
      </c>
      <c r="N29" s="276">
        <f>SUM(N30:N31)</f>
        <v>0</v>
      </c>
      <c r="O29" s="276">
        <f>SUM(O30:O31)</f>
        <v>0</v>
      </c>
      <c r="P29" s="2"/>
    </row>
    <row r="30" spans="1:17" s="133" customFormat="1" ht="18.75">
      <c r="A30" s="116" t="s">
        <v>792</v>
      </c>
      <c r="B30" s="274">
        <f>B20</f>
        <v>0</v>
      </c>
      <c r="C30" s="274"/>
      <c r="D30" s="274">
        <f>D20</f>
        <v>6159982.27996</v>
      </c>
      <c r="E30" s="274"/>
      <c r="F30" s="274">
        <f>SUM(D30:E30)</f>
        <v>6159982.27996</v>
      </c>
      <c r="G30" s="274">
        <f>G20</f>
        <v>0</v>
      </c>
      <c r="H30" s="274"/>
      <c r="I30" s="274"/>
      <c r="J30" s="274">
        <f>SUM(F30:G30)</f>
        <v>6159982.27996</v>
      </c>
      <c r="K30" s="173"/>
      <c r="L30" s="173"/>
      <c r="M30" s="229">
        <v>100</v>
      </c>
      <c r="N30" s="206"/>
      <c r="P30" s="274"/>
      <c r="Q30" s="173"/>
    </row>
    <row r="31" spans="1:17" s="209" customFormat="1" ht="18.75">
      <c r="A31" s="116" t="s">
        <v>793</v>
      </c>
      <c r="B31" s="274"/>
      <c r="C31" s="274">
        <f>C20</f>
        <v>0</v>
      </c>
      <c r="D31" s="274">
        <f>B31+C31</f>
        <v>0</v>
      </c>
      <c r="E31" s="274">
        <f>E20</f>
        <v>7766271.4900000002</v>
      </c>
      <c r="F31" s="274">
        <f>SUM(D31:E31)</f>
        <v>7766271.4900000002</v>
      </c>
      <c r="G31" s="274"/>
      <c r="H31" s="274"/>
      <c r="I31" s="274"/>
      <c r="J31" s="274">
        <f>SUM(F31:G31)</f>
        <v>7766271.4900000002</v>
      </c>
      <c r="K31" s="433"/>
      <c r="L31" s="173"/>
      <c r="M31" s="207"/>
      <c r="N31" s="208"/>
      <c r="Q31" s="208"/>
    </row>
    <row r="32" spans="1:17" s="273" customFormat="1" ht="18.75">
      <c r="A32" s="116" t="s">
        <v>629</v>
      </c>
      <c r="B32" s="274">
        <f>B29-B30-B31</f>
        <v>0</v>
      </c>
      <c r="C32" s="274">
        <f>C29-C30-C31</f>
        <v>0</v>
      </c>
      <c r="D32" s="274"/>
      <c r="E32" s="274">
        <f>E29-E30-E31</f>
        <v>0</v>
      </c>
      <c r="F32" s="274">
        <f>F29-F30-F31</f>
        <v>0</v>
      </c>
      <c r="G32" s="274"/>
      <c r="H32" s="274"/>
      <c r="I32" s="274"/>
      <c r="J32" s="274">
        <f>J29-J30-J31</f>
        <v>0</v>
      </c>
      <c r="K32" s="173"/>
      <c r="L32" s="173"/>
      <c r="M32" s="272">
        <v>97.5</v>
      </c>
      <c r="N32" s="271"/>
      <c r="Q32" s="271"/>
    </row>
    <row r="33" spans="1:17" s="273" customFormat="1" ht="18.75">
      <c r="A33" s="11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72">
        <v>2.5</v>
      </c>
      <c r="N33" s="271"/>
      <c r="Q33" s="271"/>
    </row>
    <row r="34" spans="1:17" s="209" customFormat="1">
      <c r="A34" s="279" t="s">
        <v>582</v>
      </c>
      <c r="B34" s="280">
        <f t="shared" ref="B34:E34" si="11">B24-B29</f>
        <v>0</v>
      </c>
      <c r="C34" s="280">
        <f t="shared" si="11"/>
        <v>0</v>
      </c>
      <c r="D34" s="280">
        <f t="shared" si="11"/>
        <v>-49999.999959999695</v>
      </c>
      <c r="E34" s="280">
        <f t="shared" si="11"/>
        <v>0</v>
      </c>
      <c r="F34" s="280">
        <f t="shared" ref="F34:J34" si="12">F24-F29</f>
        <v>-49999.999960001558</v>
      </c>
      <c r="G34" s="280">
        <f t="shared" si="12"/>
        <v>0</v>
      </c>
      <c r="H34" s="280"/>
      <c r="I34" s="280"/>
      <c r="J34" s="280">
        <f t="shared" si="12"/>
        <v>-49999.999960001558</v>
      </c>
      <c r="K34" s="280">
        <f t="shared" ref="K34" si="13">K24-K29</f>
        <v>0</v>
      </c>
      <c r="L34" s="280"/>
      <c r="M34" s="207"/>
      <c r="N34" s="208"/>
      <c r="Q34" s="208"/>
    </row>
    <row r="35" spans="1:17">
      <c r="A35" s="352" t="s">
        <v>835</v>
      </c>
      <c r="B35" s="353">
        <f>B36+B37</f>
        <v>0</v>
      </c>
      <c r="C35" s="353">
        <f>C36+C39+C38</f>
        <v>0</v>
      </c>
      <c r="D35" s="353">
        <f>D36+D39+D38</f>
        <v>0</v>
      </c>
      <c r="E35" s="353">
        <f>E36+E39+E38</f>
        <v>0</v>
      </c>
      <c r="F35" s="353">
        <f>F36+F37</f>
        <v>-50000</v>
      </c>
      <c r="G35" s="353"/>
      <c r="H35" s="353"/>
      <c r="I35" s="353"/>
      <c r="J35" s="353">
        <f>J36+J39+J38</f>
        <v>0</v>
      </c>
      <c r="K35" s="353">
        <f t="shared" ref="K35" si="14">K36+K37</f>
        <v>0</v>
      </c>
      <c r="L35" s="353"/>
    </row>
    <row r="36" spans="1:17" ht="18.75">
      <c r="A36" s="130" t="s">
        <v>834</v>
      </c>
      <c r="B36" s="164"/>
      <c r="C36" s="164"/>
      <c r="D36" s="274">
        <f>B36+C36</f>
        <v>0</v>
      </c>
      <c r="E36" s="164"/>
      <c r="F36" s="274">
        <f t="shared" ref="F36" si="15">SUM(D36:E36)</f>
        <v>0</v>
      </c>
      <c r="G36" s="274"/>
      <c r="H36" s="274"/>
      <c r="I36" s="274"/>
      <c r="J36" s="274">
        <f>SUM(F36:G36)</f>
        <v>0</v>
      </c>
      <c r="K36" s="173"/>
      <c r="L36" s="173"/>
    </row>
    <row r="37" spans="1:17" ht="18.75">
      <c r="A37" s="130" t="s">
        <v>998</v>
      </c>
      <c r="B37" s="164"/>
      <c r="C37" s="164"/>
      <c r="D37" s="274">
        <f>B37+C37</f>
        <v>0</v>
      </c>
      <c r="E37" s="164"/>
      <c r="F37" s="274">
        <v>-50000</v>
      </c>
      <c r="G37" s="274"/>
      <c r="H37" s="274"/>
      <c r="I37" s="274"/>
      <c r="J37" s="274">
        <f>SUM(F37:G37)</f>
        <v>-50000</v>
      </c>
      <c r="K37" s="433"/>
      <c r="L37" s="173"/>
    </row>
    <row r="39" spans="1:17">
      <c r="A39" s="270"/>
      <c r="F39" s="433"/>
      <c r="G39" s="433"/>
      <c r="J39" s="433"/>
    </row>
    <row r="40" spans="1:17">
      <c r="A40" s="270"/>
      <c r="H40" s="206"/>
      <c r="I40" s="206"/>
    </row>
    <row r="41" spans="1:17" s="133" customFormat="1">
      <c r="B41" s="206"/>
      <c r="C41" s="206"/>
      <c r="D41" s="206"/>
      <c r="E41" s="206"/>
      <c r="F41" s="206"/>
      <c r="G41" s="206"/>
      <c r="H41" s="5"/>
      <c r="I41" s="5"/>
      <c r="J41" s="206"/>
      <c r="K41" s="206"/>
      <c r="L41" s="5"/>
      <c r="O41" s="206"/>
    </row>
  </sheetData>
  <pageMargins left="0.35433070866141736" right="0.15748031496062992" top="0.23622047244094491" bottom="0.23622047244094491" header="0.19685039370078741" footer="0.35433070866141736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1"/>
  <sheetViews>
    <sheetView view="pageBreakPreview" zoomScale="85" zoomScaleNormal="75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7" sqref="I7"/>
    </sheetView>
  </sheetViews>
  <sheetFormatPr defaultRowHeight="18"/>
  <cols>
    <col min="1" max="1" width="9.7265625" customWidth="1"/>
    <col min="2" max="5" width="11.7265625" style="5" customWidth="1"/>
    <col min="6" max="7" width="12.26953125" style="5" customWidth="1"/>
    <col min="8" max="9" width="11.7265625" style="5" customWidth="1"/>
    <col min="10" max="10" width="12.26953125" style="5" customWidth="1"/>
    <col min="11" max="11" width="14" style="5" customWidth="1"/>
    <col min="12" max="12" width="11" style="5" customWidth="1"/>
    <col min="13" max="13" width="0" hidden="1" customWidth="1"/>
    <col min="14" max="14" width="8.1796875" hidden="1" customWidth="1"/>
    <col min="15" max="15" width="12.81640625" style="5" hidden="1" customWidth="1"/>
    <col min="16" max="16" width="16.81640625" customWidth="1"/>
    <col min="17" max="17" width="13.90625" customWidth="1"/>
  </cols>
  <sheetData>
    <row r="1" spans="1:17">
      <c r="A1">
        <v>2024</v>
      </c>
      <c r="O1" s="5" t="s">
        <v>215</v>
      </c>
    </row>
    <row r="2" spans="1:17" s="130" customFormat="1" ht="102.75" customHeight="1">
      <c r="A2" s="226" t="s">
        <v>220</v>
      </c>
      <c r="B2" s="436" t="s">
        <v>1033</v>
      </c>
      <c r="C2" s="226" t="s">
        <v>1137</v>
      </c>
      <c r="D2" s="436" t="s">
        <v>1033</v>
      </c>
      <c r="E2" s="226" t="s">
        <v>643</v>
      </c>
      <c r="F2" s="436" t="str">
        <f>'ГРБС 2023'!F2</f>
        <v>ПРОЕКТ решения
(09 11 2022)</v>
      </c>
      <c r="G2" s="226" t="s">
        <v>1247</v>
      </c>
      <c r="H2" s="462" t="s">
        <v>1267</v>
      </c>
      <c r="I2" s="436" t="s">
        <v>1268</v>
      </c>
      <c r="J2" s="462" t="s">
        <v>1114</v>
      </c>
      <c r="K2" s="436" t="s">
        <v>64</v>
      </c>
      <c r="L2" s="459" t="s">
        <v>65</v>
      </c>
      <c r="M2" s="436"/>
      <c r="N2" s="228" t="s">
        <v>63</v>
      </c>
      <c r="O2" s="228" t="s">
        <v>64</v>
      </c>
      <c r="P2" s="366" t="s">
        <v>1110</v>
      </c>
      <c r="Q2" s="367" t="s">
        <v>1111</v>
      </c>
    </row>
    <row r="3" spans="1:17" ht="21" customHeight="1">
      <c r="A3" s="8">
        <v>600</v>
      </c>
      <c r="B3" s="435"/>
      <c r="C3" s="8"/>
      <c r="D3" s="435">
        <v>56474.689999999995</v>
      </c>
      <c r="E3" s="434">
        <v>0</v>
      </c>
      <c r="F3" s="435">
        <f>SUM(D3:E3)</f>
        <v>56474.689999999995</v>
      </c>
      <c r="G3" s="434">
        <v>156.65</v>
      </c>
      <c r="H3" s="434">
        <v>0</v>
      </c>
      <c r="I3" s="435"/>
      <c r="J3" s="434">
        <f>SUM(F3:I3)</f>
        <v>56631.34</v>
      </c>
      <c r="K3" s="435">
        <f>'Вед-я стр-ра'!J5</f>
        <v>56631.340000000004</v>
      </c>
      <c r="L3" s="460">
        <f>J3-K3</f>
        <v>0</v>
      </c>
      <c r="M3" s="435">
        <f>K3-L3</f>
        <v>56631.340000000004</v>
      </c>
      <c r="N3" s="435">
        <f>L3-M3</f>
        <v>-56631.340000000004</v>
      </c>
      <c r="O3" s="435">
        <f>M3-N3</f>
        <v>113262.68000000001</v>
      </c>
      <c r="P3" s="448" t="e">
        <f>B3+#REF!</f>
        <v>#REF!</v>
      </c>
      <c r="Q3" s="448">
        <f t="shared" ref="Q3:Q20" si="0">C3+E3</f>
        <v>0</v>
      </c>
    </row>
    <row r="4" spans="1:17">
      <c r="A4" s="8">
        <v>601</v>
      </c>
      <c r="B4" s="435"/>
      <c r="C4" s="434"/>
      <c r="D4" s="435">
        <v>230922.18999999997</v>
      </c>
      <c r="E4" s="434">
        <v>13415.13</v>
      </c>
      <c r="F4" s="435">
        <f t="shared" ref="F4:F19" si="1">SUM(D4:E4)</f>
        <v>244337.31999999998</v>
      </c>
      <c r="G4" s="434">
        <v>930.8</v>
      </c>
      <c r="H4" s="434">
        <v>0</v>
      </c>
      <c r="I4" s="435"/>
      <c r="J4" s="434">
        <f t="shared" ref="J4:J19" si="2">SUM(F4:I4)</f>
        <v>245268.11999999997</v>
      </c>
      <c r="K4" s="435">
        <f>'Вед-я стр-ра'!J37</f>
        <v>245268.12000000002</v>
      </c>
      <c r="L4" s="460">
        <f t="shared" ref="L4:L19" si="3">J4-K4</f>
        <v>0</v>
      </c>
      <c r="M4" s="435"/>
      <c r="N4" s="434">
        <v>601</v>
      </c>
      <c r="O4" s="6">
        <v>224281.33</v>
      </c>
      <c r="P4" s="448" t="e">
        <f>B4+#REF!</f>
        <v>#REF!</v>
      </c>
      <c r="Q4" s="448">
        <f t="shared" si="0"/>
        <v>13415.13</v>
      </c>
    </row>
    <row r="5" spans="1:17">
      <c r="A5" s="8">
        <v>602</v>
      </c>
      <c r="B5" s="435"/>
      <c r="C5" s="434"/>
      <c r="D5" s="435">
        <v>113671.25999999998</v>
      </c>
      <c r="E5" s="434">
        <v>15523.3</v>
      </c>
      <c r="F5" s="435">
        <f t="shared" si="1"/>
        <v>129194.55999999998</v>
      </c>
      <c r="G5" s="434"/>
      <c r="H5" s="434">
        <v>-752.8</v>
      </c>
      <c r="I5" s="435"/>
      <c r="J5" s="434">
        <f t="shared" si="2"/>
        <v>128441.75999999998</v>
      </c>
      <c r="K5" s="435">
        <f>'Вед-я стр-ра'!J164</f>
        <v>128441.76000000001</v>
      </c>
      <c r="L5" s="460">
        <f t="shared" si="3"/>
        <v>0</v>
      </c>
      <c r="M5" s="435"/>
      <c r="N5" s="434">
        <v>602</v>
      </c>
      <c r="O5" s="6">
        <v>78462.720000000001</v>
      </c>
      <c r="P5" s="448" t="e">
        <f>B5+#REF!</f>
        <v>#REF!</v>
      </c>
      <c r="Q5" s="448">
        <f t="shared" si="0"/>
        <v>15523.3</v>
      </c>
    </row>
    <row r="6" spans="1:17">
      <c r="A6" s="8">
        <v>604</v>
      </c>
      <c r="B6" s="435"/>
      <c r="C6" s="8"/>
      <c r="D6" s="435">
        <v>333657.51</v>
      </c>
      <c r="E6" s="434">
        <v>0</v>
      </c>
      <c r="F6" s="435">
        <f t="shared" si="1"/>
        <v>333657.51</v>
      </c>
      <c r="G6" s="434">
        <f>-52.3-156.65</f>
        <v>-208.95</v>
      </c>
      <c r="H6" s="434">
        <v>0</v>
      </c>
      <c r="I6" s="435">
        <v>-7056.61</v>
      </c>
      <c r="J6" s="434">
        <f t="shared" si="2"/>
        <v>326391.95</v>
      </c>
      <c r="K6" s="435">
        <f>'Вед-я стр-ра'!J207</f>
        <v>326391.95</v>
      </c>
      <c r="L6" s="460">
        <f t="shared" si="3"/>
        <v>0</v>
      </c>
      <c r="M6" s="435"/>
      <c r="N6" s="434">
        <v>604</v>
      </c>
      <c r="O6" s="6">
        <v>132321.25</v>
      </c>
      <c r="P6" s="448" t="e">
        <f>B6+#REF!</f>
        <v>#REF!</v>
      </c>
      <c r="Q6" s="448">
        <f t="shared" si="0"/>
        <v>0</v>
      </c>
    </row>
    <row r="7" spans="1:17">
      <c r="A7" s="8">
        <v>605</v>
      </c>
      <c r="B7" s="435"/>
      <c r="C7" s="8"/>
      <c r="D7" s="435">
        <v>174433.33000000002</v>
      </c>
      <c r="E7" s="434">
        <v>0</v>
      </c>
      <c r="F7" s="435">
        <f t="shared" si="1"/>
        <v>174433.33000000002</v>
      </c>
      <c r="G7" s="434">
        <v>25.43</v>
      </c>
      <c r="H7" s="434">
        <v>0</v>
      </c>
      <c r="I7" s="435"/>
      <c r="J7" s="434">
        <f t="shared" si="2"/>
        <v>174458.76</v>
      </c>
      <c r="K7" s="435">
        <f>'Вед-я стр-ра'!J238</f>
        <v>174458.76</v>
      </c>
      <c r="L7" s="460">
        <f t="shared" si="3"/>
        <v>0</v>
      </c>
      <c r="M7" s="435"/>
      <c r="N7" s="434">
        <v>605</v>
      </c>
      <c r="O7" s="6">
        <v>27727</v>
      </c>
      <c r="P7" s="448" t="e">
        <f>B7+#REF!</f>
        <v>#REF!</v>
      </c>
      <c r="Q7" s="448">
        <f t="shared" si="0"/>
        <v>0</v>
      </c>
    </row>
    <row r="8" spans="1:17">
      <c r="A8" s="8">
        <v>606</v>
      </c>
      <c r="B8" s="435"/>
      <c r="C8" s="8"/>
      <c r="D8" s="435">
        <v>2682668.8899999997</v>
      </c>
      <c r="E8" s="434">
        <v>3375585.12</v>
      </c>
      <c r="F8" s="435">
        <f t="shared" si="1"/>
        <v>6058254.0099999998</v>
      </c>
      <c r="G8" s="434">
        <v>14030.02</v>
      </c>
      <c r="H8" s="434">
        <v>619591.16</v>
      </c>
      <c r="I8" s="435">
        <v>7067.9</v>
      </c>
      <c r="J8" s="434">
        <f t="shared" si="2"/>
        <v>6698943.0899999999</v>
      </c>
      <c r="K8" s="435">
        <f>'Вед-я стр-ра'!J318</f>
        <v>6698943.0899999999</v>
      </c>
      <c r="L8" s="460">
        <f t="shared" si="3"/>
        <v>0</v>
      </c>
      <c r="M8" s="435"/>
      <c r="N8" s="434">
        <v>606</v>
      </c>
      <c r="O8" s="6">
        <v>3011538.7699999996</v>
      </c>
      <c r="P8" s="448" t="e">
        <f>B8+#REF!</f>
        <v>#REF!</v>
      </c>
      <c r="Q8" s="448">
        <f t="shared" si="0"/>
        <v>3375585.12</v>
      </c>
    </row>
    <row r="9" spans="1:17">
      <c r="A9" s="8">
        <v>607</v>
      </c>
      <c r="B9" s="435"/>
      <c r="C9" s="8"/>
      <c r="D9" s="435">
        <v>644893.67999999993</v>
      </c>
      <c r="E9" s="434">
        <v>0</v>
      </c>
      <c r="F9" s="435">
        <f t="shared" si="1"/>
        <v>644893.67999999993</v>
      </c>
      <c r="G9" s="434">
        <v>1384.22</v>
      </c>
      <c r="H9" s="434">
        <v>2485.39</v>
      </c>
      <c r="I9" s="435">
        <v>-11.29</v>
      </c>
      <c r="J9" s="434">
        <f t="shared" si="2"/>
        <v>648751.99999999988</v>
      </c>
      <c r="K9" s="435">
        <f>'Вед-я стр-ра'!J507</f>
        <v>648752</v>
      </c>
      <c r="L9" s="460">
        <f t="shared" si="3"/>
        <v>0</v>
      </c>
      <c r="M9" s="435"/>
      <c r="N9" s="434">
        <v>607</v>
      </c>
      <c r="O9" s="6">
        <v>263470.93</v>
      </c>
      <c r="P9" s="448" t="e">
        <f>B9+#REF!</f>
        <v>#REF!</v>
      </c>
      <c r="Q9" s="448">
        <f t="shared" si="0"/>
        <v>0</v>
      </c>
    </row>
    <row r="10" spans="1:17">
      <c r="A10" s="8">
        <v>609</v>
      </c>
      <c r="B10" s="435"/>
      <c r="C10" s="434"/>
      <c r="D10" s="435">
        <v>70652.109999999986</v>
      </c>
      <c r="E10" s="434">
        <v>2175225.63</v>
      </c>
      <c r="F10" s="435">
        <f t="shared" si="1"/>
        <v>2245877.7399999998</v>
      </c>
      <c r="G10" s="434"/>
      <c r="H10" s="434">
        <v>-8573.64</v>
      </c>
      <c r="I10" s="435"/>
      <c r="J10" s="434">
        <f t="shared" si="2"/>
        <v>2237304.0999999996</v>
      </c>
      <c r="K10" s="435">
        <f>'Вед-я стр-ра'!J653</f>
        <v>2237304.1000000006</v>
      </c>
      <c r="L10" s="460">
        <f t="shared" si="3"/>
        <v>0</v>
      </c>
      <c r="M10" s="435"/>
      <c r="N10" s="434">
        <v>609</v>
      </c>
      <c r="O10" s="6">
        <v>1694405.2700000003</v>
      </c>
      <c r="P10" s="448" t="e">
        <f>B10+#REF!</f>
        <v>#REF!</v>
      </c>
      <c r="Q10" s="448">
        <f t="shared" si="0"/>
        <v>2175225.63</v>
      </c>
    </row>
    <row r="11" spans="1:17">
      <c r="A11" s="8">
        <v>611</v>
      </c>
      <c r="B11" s="435"/>
      <c r="C11" s="8"/>
      <c r="D11" s="435">
        <v>246775.50999999998</v>
      </c>
      <c r="E11" s="434">
        <v>0</v>
      </c>
      <c r="F11" s="435">
        <f t="shared" si="1"/>
        <v>246775.50999999998</v>
      </c>
      <c r="G11" s="434">
        <v>1655.05</v>
      </c>
      <c r="H11" s="434"/>
      <c r="I11" s="435"/>
      <c r="J11" s="434">
        <f t="shared" si="2"/>
        <v>248430.55999999997</v>
      </c>
      <c r="K11" s="435">
        <f>'Вед-я стр-ра'!J818</f>
        <v>248430.55999999997</v>
      </c>
      <c r="L11" s="460">
        <f t="shared" si="3"/>
        <v>0</v>
      </c>
      <c r="M11" s="435"/>
      <c r="N11" s="434">
        <v>611</v>
      </c>
      <c r="O11" s="6">
        <v>201752.23</v>
      </c>
      <c r="P11" s="448" t="e">
        <f>B11+#REF!</f>
        <v>#REF!</v>
      </c>
      <c r="Q11" s="448">
        <f t="shared" si="0"/>
        <v>0</v>
      </c>
    </row>
    <row r="12" spans="1:17">
      <c r="A12" s="8">
        <v>617</v>
      </c>
      <c r="B12" s="435"/>
      <c r="C12" s="8"/>
      <c r="D12" s="435">
        <f>175688.03+38.19</f>
        <v>175726.22</v>
      </c>
      <c r="E12" s="434">
        <v>12452.03</v>
      </c>
      <c r="F12" s="435">
        <f t="shared" si="1"/>
        <v>188178.25</v>
      </c>
      <c r="G12" s="434"/>
      <c r="H12" s="434">
        <v>-0.18</v>
      </c>
      <c r="I12" s="435"/>
      <c r="J12" s="434">
        <f t="shared" si="2"/>
        <v>188178.07</v>
      </c>
      <c r="K12" s="435">
        <f>'Вед-я стр-ра'!J898</f>
        <v>188178.07</v>
      </c>
      <c r="L12" s="460">
        <f t="shared" si="3"/>
        <v>0</v>
      </c>
      <c r="M12" s="435"/>
      <c r="N12" s="434">
        <v>617</v>
      </c>
      <c r="O12" s="6">
        <v>112115.18999999999</v>
      </c>
      <c r="P12" s="448" t="e">
        <f>B12+#REF!</f>
        <v>#REF!</v>
      </c>
      <c r="Q12" s="448">
        <f t="shared" si="0"/>
        <v>12452.03</v>
      </c>
    </row>
    <row r="13" spans="1:17">
      <c r="A13" s="8">
        <v>618</v>
      </c>
      <c r="B13" s="435"/>
      <c r="C13" s="434"/>
      <c r="D13" s="435">
        <f>153867.83+29.4</f>
        <v>153897.22999999998</v>
      </c>
      <c r="E13" s="434">
        <v>10243.43</v>
      </c>
      <c r="F13" s="435">
        <f t="shared" si="1"/>
        <v>164140.65999999997</v>
      </c>
      <c r="G13" s="434"/>
      <c r="H13" s="434">
        <v>-0.18</v>
      </c>
      <c r="I13" s="435"/>
      <c r="J13" s="434">
        <f t="shared" si="2"/>
        <v>164140.47999999998</v>
      </c>
      <c r="K13" s="435">
        <f>'Вед-я стр-ра'!J970</f>
        <v>164140.48000000001</v>
      </c>
      <c r="L13" s="460">
        <f t="shared" si="3"/>
        <v>0</v>
      </c>
      <c r="M13" s="435"/>
      <c r="N13" s="434">
        <v>618</v>
      </c>
      <c r="O13" s="6">
        <v>103272.96000000001</v>
      </c>
      <c r="P13" s="448" t="e">
        <f>B13+#REF!</f>
        <v>#REF!</v>
      </c>
      <c r="Q13" s="448">
        <f t="shared" si="0"/>
        <v>10243.43</v>
      </c>
    </row>
    <row r="14" spans="1:17">
      <c r="A14" s="8">
        <v>619</v>
      </c>
      <c r="B14" s="435"/>
      <c r="C14" s="434"/>
      <c r="D14" s="435">
        <f>297018.01-10.72</f>
        <v>297007.29000000004</v>
      </c>
      <c r="E14" s="434">
        <v>4383.25</v>
      </c>
      <c r="F14" s="435">
        <f t="shared" si="1"/>
        <v>301390.54000000004</v>
      </c>
      <c r="G14" s="434"/>
      <c r="H14" s="434">
        <v>-0.2</v>
      </c>
      <c r="I14" s="435"/>
      <c r="J14" s="434">
        <f t="shared" si="2"/>
        <v>301390.34000000003</v>
      </c>
      <c r="K14" s="435">
        <f>'Вед-я стр-ра'!J1032</f>
        <v>301390.33999999997</v>
      </c>
      <c r="L14" s="460">
        <f t="shared" si="3"/>
        <v>0</v>
      </c>
      <c r="M14" s="435"/>
      <c r="N14" s="434">
        <v>619</v>
      </c>
      <c r="O14" s="6">
        <v>154418.07</v>
      </c>
      <c r="P14" s="448" t="e">
        <f>B14+#REF!</f>
        <v>#REF!</v>
      </c>
      <c r="Q14" s="448">
        <f t="shared" si="0"/>
        <v>4383.25</v>
      </c>
    </row>
    <row r="15" spans="1:17">
      <c r="A15" s="8">
        <v>620</v>
      </c>
      <c r="B15" s="435"/>
      <c r="C15" s="434"/>
      <c r="D15" s="435">
        <v>498337.88</v>
      </c>
      <c r="E15" s="434">
        <v>35320.730000000003</v>
      </c>
      <c r="F15" s="435">
        <f t="shared" si="1"/>
        <v>533658.61</v>
      </c>
      <c r="G15" s="434">
        <v>135.69</v>
      </c>
      <c r="H15" s="434">
        <v>0</v>
      </c>
      <c r="I15" s="435"/>
      <c r="J15" s="434">
        <f t="shared" si="2"/>
        <v>533794.29999999993</v>
      </c>
      <c r="K15" s="435">
        <f>'Вед-я стр-ра'!J1102</f>
        <v>533794.30000000005</v>
      </c>
      <c r="L15" s="460">
        <f t="shared" si="3"/>
        <v>0</v>
      </c>
      <c r="M15" s="435"/>
      <c r="N15" s="434">
        <v>620</v>
      </c>
      <c r="O15" s="6">
        <v>1383439.3100000003</v>
      </c>
      <c r="P15" s="448" t="e">
        <f>B15+#REF!</f>
        <v>#REF!</v>
      </c>
      <c r="Q15" s="448">
        <f t="shared" si="0"/>
        <v>35320.730000000003</v>
      </c>
    </row>
    <row r="16" spans="1:17">
      <c r="A16" s="8">
        <v>621</v>
      </c>
      <c r="B16" s="435"/>
      <c r="C16" s="434"/>
      <c r="D16" s="435">
        <v>104029.31996000001</v>
      </c>
      <c r="E16" s="434">
        <v>0</v>
      </c>
      <c r="F16" s="435">
        <f t="shared" si="1"/>
        <v>104029.31996000001</v>
      </c>
      <c r="G16" s="434">
        <v>18.670000000000002</v>
      </c>
      <c r="H16" s="434">
        <v>0</v>
      </c>
      <c r="I16" s="435"/>
      <c r="J16" s="434">
        <f t="shared" si="2"/>
        <v>104047.98996000001</v>
      </c>
      <c r="K16" s="435">
        <f>'Вед-я стр-ра'!J1242</f>
        <v>104047.99000000002</v>
      </c>
      <c r="L16" s="460">
        <f t="shared" si="3"/>
        <v>-4.0000013541430235E-5</v>
      </c>
      <c r="M16" s="435"/>
      <c r="N16" s="434">
        <v>621</v>
      </c>
      <c r="O16" s="6">
        <v>227341.81999999998</v>
      </c>
      <c r="P16" s="448" t="e">
        <f>B16+#REF!</f>
        <v>#REF!</v>
      </c>
      <c r="Q16" s="448">
        <f t="shared" si="0"/>
        <v>0</v>
      </c>
    </row>
    <row r="17" spans="1:17">
      <c r="A17" s="8">
        <v>624</v>
      </c>
      <c r="B17" s="435"/>
      <c r="C17" s="8"/>
      <c r="D17" s="435">
        <v>126689.12</v>
      </c>
      <c r="E17" s="434">
        <v>0</v>
      </c>
      <c r="F17" s="435">
        <f t="shared" si="1"/>
        <v>126689.12</v>
      </c>
      <c r="G17" s="434">
        <v>40.46</v>
      </c>
      <c r="H17" s="434">
        <v>0</v>
      </c>
      <c r="I17" s="435"/>
      <c r="J17" s="434">
        <f t="shared" si="2"/>
        <v>126729.58</v>
      </c>
      <c r="K17" s="435">
        <f>'Вед-я стр-ра'!J1322</f>
        <v>126729.57999999999</v>
      </c>
      <c r="L17" s="460">
        <f t="shared" si="3"/>
        <v>0</v>
      </c>
      <c r="M17" s="435"/>
      <c r="N17" s="434">
        <v>624</v>
      </c>
      <c r="O17" s="6">
        <v>96687.72</v>
      </c>
      <c r="P17" s="448" t="e">
        <f>B17+#REF!</f>
        <v>#REF!</v>
      </c>
      <c r="Q17" s="448">
        <f t="shared" si="0"/>
        <v>0</v>
      </c>
    </row>
    <row r="18" spans="1:17">
      <c r="A18" s="8">
        <v>643</v>
      </c>
      <c r="B18" s="435"/>
      <c r="C18" s="8"/>
      <c r="D18" s="435">
        <v>19604.62</v>
      </c>
      <c r="E18" s="434">
        <v>0</v>
      </c>
      <c r="F18" s="435">
        <f t="shared" si="1"/>
        <v>19604.62</v>
      </c>
      <c r="G18" s="434"/>
      <c r="H18" s="434">
        <v>0</v>
      </c>
      <c r="I18" s="435"/>
      <c r="J18" s="434">
        <f t="shared" si="2"/>
        <v>19604.62</v>
      </c>
      <c r="K18" s="435">
        <f>'Вед-я стр-ра'!J1366</f>
        <v>19604.62</v>
      </c>
      <c r="L18" s="460">
        <f t="shared" si="3"/>
        <v>0</v>
      </c>
      <c r="M18" s="435"/>
      <c r="N18" s="434"/>
      <c r="O18" s="6"/>
      <c r="P18" s="448" t="e">
        <f>B18+#REF!</f>
        <v>#REF!</v>
      </c>
      <c r="Q18" s="448">
        <f t="shared" si="0"/>
        <v>0</v>
      </c>
    </row>
    <row r="19" spans="1:17">
      <c r="A19" s="370" t="s">
        <v>839</v>
      </c>
      <c r="B19" s="435"/>
      <c r="C19" s="8"/>
      <c r="D19" s="475">
        <v>316847.49</v>
      </c>
      <c r="E19" s="434"/>
      <c r="F19" s="475">
        <f t="shared" si="1"/>
        <v>316847.49</v>
      </c>
      <c r="G19" s="434">
        <f>-4220.34+366+38.9</f>
        <v>-3815.44</v>
      </c>
      <c r="H19" s="434">
        <v>0</v>
      </c>
      <c r="I19" s="435"/>
      <c r="J19" s="434">
        <f t="shared" si="2"/>
        <v>313032.05</v>
      </c>
      <c r="K19" s="435">
        <f>'Вед-я стр-ра'!J1383</f>
        <v>313032.05</v>
      </c>
      <c r="L19" s="460">
        <f t="shared" si="3"/>
        <v>0</v>
      </c>
      <c r="M19" s="435"/>
      <c r="N19" s="434"/>
      <c r="O19" s="364"/>
      <c r="P19" s="448" t="e">
        <f>B19+#REF!</f>
        <v>#REF!</v>
      </c>
      <c r="Q19" s="448">
        <f t="shared" si="0"/>
        <v>0</v>
      </c>
    </row>
    <row r="20" spans="1:17" s="119" customFormat="1">
      <c r="A20" s="9" t="s">
        <v>66</v>
      </c>
      <c r="B20" s="118">
        <f>SUM(B3:B19)</f>
        <v>0</v>
      </c>
      <c r="C20" s="118">
        <f>SUM(C3:C19)</f>
        <v>0</v>
      </c>
      <c r="D20" s="118">
        <f>SUM(D3:D19)</f>
        <v>6246288.3399599995</v>
      </c>
      <c r="E20" s="118">
        <f>SUM(E3:E19)</f>
        <v>5642148.6200000001</v>
      </c>
      <c r="F20" s="118">
        <f t="shared" ref="F20:G20" si="4">SUM(F3:F19)</f>
        <v>11888436.959959999</v>
      </c>
      <c r="G20" s="118">
        <f t="shared" si="4"/>
        <v>14352.599999999997</v>
      </c>
      <c r="H20" s="118">
        <f t="shared" ref="H20:I20" si="5">SUM(H3:H19)</f>
        <v>612749.54999999993</v>
      </c>
      <c r="I20" s="118">
        <f t="shared" si="5"/>
        <v>-3.5527136788005009E-14</v>
      </c>
      <c r="J20" s="118">
        <f t="shared" ref="J20" si="6">SUM(J3:J19)</f>
        <v>12515539.109960001</v>
      </c>
      <c r="K20" s="118">
        <f>SUM(K3:K19)</f>
        <v>12515539.110000003</v>
      </c>
      <c r="L20" s="118">
        <f>SUM(L3:L19)</f>
        <v>-4.0000013541430235E-5</v>
      </c>
      <c r="M20" s="118">
        <f>SUM(M3:M18)</f>
        <v>56631.340000000004</v>
      </c>
      <c r="N20" s="118">
        <f>SUM(N3:N18)</f>
        <v>-48067.340000000004</v>
      </c>
      <c r="O20" s="365">
        <f>SUM(O3:O18)</f>
        <v>7824497.2500000019</v>
      </c>
      <c r="P20" s="447" t="e">
        <f>B20+#REF!</f>
        <v>#REF!</v>
      </c>
      <c r="Q20" s="368">
        <f t="shared" si="0"/>
        <v>5642148.6200000001</v>
      </c>
    </row>
    <row r="21" spans="1:17">
      <c r="B21" s="7"/>
      <c r="C21" s="7"/>
      <c r="D21" s="7"/>
      <c r="E21" s="7"/>
      <c r="F21" s="7"/>
      <c r="G21" s="7"/>
      <c r="H21" s="7"/>
      <c r="I21" s="7"/>
      <c r="J21" s="7"/>
    </row>
    <row r="23" spans="1:17">
      <c r="F23" s="181"/>
      <c r="G23" s="181"/>
      <c r="H23" s="181"/>
      <c r="I23" s="181"/>
      <c r="J23" s="181"/>
      <c r="L23" s="5" t="s">
        <v>633</v>
      </c>
    </row>
    <row r="24" spans="1:17">
      <c r="A24" s="277" t="s">
        <v>580</v>
      </c>
      <c r="B24" s="278">
        <f>B25+B26</f>
        <v>0</v>
      </c>
      <c r="C24" s="278">
        <f>C25+C26</f>
        <v>0</v>
      </c>
      <c r="D24" s="278">
        <f>D25+D26</f>
        <v>6196288.3399999999</v>
      </c>
      <c r="E24" s="278">
        <f>E25+E26</f>
        <v>5642148.6200000001</v>
      </c>
      <c r="F24" s="278">
        <f t="shared" ref="F24:G24" si="7">F25+F26</f>
        <v>11838436.960000001</v>
      </c>
      <c r="G24" s="278">
        <f t="shared" si="7"/>
        <v>0</v>
      </c>
      <c r="H24" s="278"/>
      <c r="I24" s="278"/>
      <c r="J24" s="278"/>
      <c r="K24" s="278">
        <f t="shared" ref="K24" si="8">K25+K26</f>
        <v>0</v>
      </c>
      <c r="L24" s="278"/>
      <c r="Q24">
        <v>4589.93</v>
      </c>
    </row>
    <row r="25" spans="1:17" ht="18.75">
      <c r="A25" s="116" t="s">
        <v>792</v>
      </c>
      <c r="B25" s="274"/>
      <c r="C25" s="274"/>
      <c r="D25" s="274">
        <v>6196288.3399999999</v>
      </c>
      <c r="E25" s="274"/>
      <c r="F25" s="274">
        <f t="shared" ref="F25:F26" si="9">SUM(D25:E25)</f>
        <v>6196288.3399999999</v>
      </c>
      <c r="G25" s="433"/>
      <c r="H25" s="274"/>
      <c r="I25" s="274"/>
      <c r="J25" s="433"/>
      <c r="K25" s="433"/>
      <c r="L25" s="433"/>
    </row>
    <row r="26" spans="1:17" ht="18.75">
      <c r="A26" s="116" t="s">
        <v>793</v>
      </c>
      <c r="B26" s="274"/>
      <c r="C26" s="274"/>
      <c r="D26" s="274"/>
      <c r="E26" s="274">
        <f>E20</f>
        <v>5642148.6200000001</v>
      </c>
      <c r="F26" s="274">
        <f t="shared" si="9"/>
        <v>5642148.6200000001</v>
      </c>
      <c r="G26" s="433"/>
      <c r="H26" s="274"/>
      <c r="I26" s="274"/>
      <c r="J26" s="433"/>
      <c r="K26" s="433"/>
      <c r="L26" s="433"/>
    </row>
    <row r="27" spans="1:17" ht="18.75">
      <c r="A27" s="116" t="s">
        <v>629</v>
      </c>
      <c r="B27" s="274"/>
      <c r="C27" s="274"/>
      <c r="D27" s="274"/>
      <c r="E27" s="274">
        <f>E24-E25-E26</f>
        <v>0</v>
      </c>
      <c r="F27" s="274"/>
      <c r="G27" s="274"/>
      <c r="H27" s="274"/>
      <c r="I27" s="274"/>
      <c r="J27" s="274"/>
      <c r="K27" s="433"/>
      <c r="L27" s="433"/>
    </row>
    <row r="28" spans="1:17" ht="18.75">
      <c r="A28" s="116"/>
      <c r="B28" s="274"/>
      <c r="C28" s="274"/>
      <c r="D28" s="274"/>
      <c r="E28" s="274"/>
      <c r="H28" s="274"/>
      <c r="I28" s="274"/>
      <c r="K28" s="433"/>
      <c r="L28" s="274"/>
      <c r="Q28" s="2"/>
    </row>
    <row r="29" spans="1:17">
      <c r="A29" s="275" t="s">
        <v>581</v>
      </c>
      <c r="B29" s="276">
        <f>B30+B31</f>
        <v>0</v>
      </c>
      <c r="C29" s="276">
        <f>C30+C31</f>
        <v>0</v>
      </c>
      <c r="D29" s="276">
        <f>D30+D31</f>
        <v>6246288.3399599995</v>
      </c>
      <c r="E29" s="276">
        <f>E30+E31</f>
        <v>5642148.6200000001</v>
      </c>
      <c r="F29" s="276">
        <f>F30+F31</f>
        <v>11888436.959959999</v>
      </c>
      <c r="G29" s="276">
        <f t="shared" ref="G29" si="10">G30+G31</f>
        <v>14352.599999999997</v>
      </c>
      <c r="H29" s="276"/>
      <c r="I29" s="276"/>
      <c r="J29" s="276">
        <f>J30+J31</f>
        <v>0</v>
      </c>
      <c r="K29" s="276">
        <f t="shared" ref="K29" si="11">K30+K31</f>
        <v>0</v>
      </c>
      <c r="L29" s="276"/>
      <c r="M29" s="276">
        <f>SUM(M30:M31)</f>
        <v>100</v>
      </c>
      <c r="N29" s="276">
        <f>SUM(N30:N31)</f>
        <v>0</v>
      </c>
      <c r="O29" s="276">
        <f>SUM(O30:O31)</f>
        <v>0</v>
      </c>
      <c r="P29" s="2"/>
    </row>
    <row r="30" spans="1:17" s="133" customFormat="1" ht="18.75">
      <c r="A30" s="116" t="s">
        <v>792</v>
      </c>
      <c r="B30" s="274">
        <f>B20</f>
        <v>0</v>
      </c>
      <c r="C30" s="274"/>
      <c r="D30" s="274">
        <f>D20</f>
        <v>6246288.3399599995</v>
      </c>
      <c r="E30" s="274"/>
      <c r="F30" s="274">
        <f>SUM(D30:E30)</f>
        <v>6246288.3399599995</v>
      </c>
      <c r="G30" s="274">
        <f>G20</f>
        <v>14352.599999999997</v>
      </c>
      <c r="H30" s="274"/>
      <c r="I30" s="274"/>
      <c r="J30" s="274">
        <f>SUM(H30:I30)</f>
        <v>0</v>
      </c>
      <c r="K30" s="433"/>
      <c r="L30" s="433"/>
      <c r="M30" s="229">
        <v>100</v>
      </c>
      <c r="N30" s="206"/>
      <c r="P30" s="274"/>
      <c r="Q30" s="433"/>
    </row>
    <row r="31" spans="1:17" s="209" customFormat="1" ht="18.75">
      <c r="A31" s="116" t="s">
        <v>793</v>
      </c>
      <c r="B31" s="274"/>
      <c r="C31" s="274">
        <f>C20</f>
        <v>0</v>
      </c>
      <c r="D31" s="274">
        <f>B31+C31</f>
        <v>0</v>
      </c>
      <c r="E31" s="274">
        <f>E20</f>
        <v>5642148.6200000001</v>
      </c>
      <c r="F31" s="274">
        <f>SUM(D31:E31)</f>
        <v>5642148.6200000001</v>
      </c>
      <c r="G31" s="274"/>
      <c r="H31" s="274"/>
      <c r="I31" s="274"/>
      <c r="J31" s="274">
        <f>SUM(H31:I31)</f>
        <v>0</v>
      </c>
      <c r="K31" s="433"/>
      <c r="L31" s="433"/>
      <c r="M31" s="207"/>
      <c r="N31" s="208"/>
      <c r="Q31" s="208"/>
    </row>
    <row r="32" spans="1:17" s="273" customFormat="1" ht="18.75">
      <c r="A32" s="116" t="s">
        <v>629</v>
      </c>
      <c r="B32" s="274">
        <f>B29-B30-B31</f>
        <v>0</v>
      </c>
      <c r="C32" s="274">
        <f>C29-C30-C31</f>
        <v>0</v>
      </c>
      <c r="D32" s="274"/>
      <c r="E32" s="274">
        <f>E29-E30-E31</f>
        <v>0</v>
      </c>
      <c r="F32" s="274">
        <f>F29-F30-F31</f>
        <v>0</v>
      </c>
      <c r="G32" s="274"/>
      <c r="H32" s="274"/>
      <c r="I32" s="274"/>
      <c r="J32" s="274">
        <f>J29-J30-J31</f>
        <v>0</v>
      </c>
      <c r="K32" s="433"/>
      <c r="L32" s="433"/>
      <c r="M32" s="272">
        <v>97.5</v>
      </c>
      <c r="N32" s="271"/>
      <c r="Q32" s="271"/>
    </row>
    <row r="33" spans="1:17" s="273" customFormat="1" ht="18.75">
      <c r="A33" s="11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72">
        <v>2.5</v>
      </c>
      <c r="N33" s="271"/>
      <c r="Q33" s="271"/>
    </row>
    <row r="34" spans="1:17" s="209" customFormat="1">
      <c r="A34" s="279" t="s">
        <v>582</v>
      </c>
      <c r="B34" s="280">
        <f t="shared" ref="B34:K34" si="12">B24-B29</f>
        <v>0</v>
      </c>
      <c r="C34" s="280">
        <f t="shared" si="12"/>
        <v>0</v>
      </c>
      <c r="D34" s="280">
        <f t="shared" si="12"/>
        <v>-49999.999959999695</v>
      </c>
      <c r="E34" s="280">
        <f>E24-E29</f>
        <v>0</v>
      </c>
      <c r="F34" s="280">
        <f>F24-F29</f>
        <v>-49999.999959997833</v>
      </c>
      <c r="G34" s="280">
        <f>G24-G29</f>
        <v>-14352.599999999997</v>
      </c>
      <c r="H34" s="280"/>
      <c r="I34" s="280"/>
      <c r="J34" s="280">
        <f t="shared" ref="J34" si="13">J24-J29</f>
        <v>0</v>
      </c>
      <c r="K34" s="280">
        <f t="shared" si="12"/>
        <v>0</v>
      </c>
      <c r="L34" s="280"/>
      <c r="M34" s="207"/>
      <c r="N34" s="208"/>
      <c r="Q34" s="208"/>
    </row>
    <row r="35" spans="1:17">
      <c r="A35" s="352" t="s">
        <v>835</v>
      </c>
      <c r="B35" s="353">
        <f>B36+B37</f>
        <v>0</v>
      </c>
      <c r="C35" s="353">
        <f>C36+C39+C38</f>
        <v>0</v>
      </c>
      <c r="D35" s="353">
        <f>D36+D39+D38</f>
        <v>0</v>
      </c>
      <c r="E35" s="353">
        <f>E36+E39+E38</f>
        <v>0</v>
      </c>
      <c r="F35" s="353">
        <f>F36+F39+F38</f>
        <v>0</v>
      </c>
      <c r="G35" s="353">
        <f>G36+G37</f>
        <v>-14000</v>
      </c>
      <c r="H35" s="353"/>
      <c r="I35" s="353"/>
      <c r="J35" s="353">
        <f>J36+J39+J38</f>
        <v>0</v>
      </c>
      <c r="K35" s="353">
        <f t="shared" ref="K35" si="14">K36+K37</f>
        <v>0</v>
      </c>
      <c r="L35" s="353"/>
    </row>
    <row r="36" spans="1:17" ht="18.75">
      <c r="A36" s="130" t="s">
        <v>834</v>
      </c>
      <c r="B36" s="164"/>
      <c r="C36" s="164"/>
      <c r="D36" s="274">
        <f>B36+C36</f>
        <v>0</v>
      </c>
      <c r="E36" s="164"/>
      <c r="F36" s="274">
        <f t="shared" ref="F36:F37" si="15">SUM(D36:E36)</f>
        <v>0</v>
      </c>
      <c r="G36" s="274"/>
      <c r="H36" s="274"/>
      <c r="I36" s="274"/>
      <c r="J36" s="274">
        <f t="shared" ref="J36:J37" si="16">SUM(H36:I36)</f>
        <v>0</v>
      </c>
      <c r="K36" s="433"/>
      <c r="L36" s="433"/>
    </row>
    <row r="37" spans="1:17" ht="18.75">
      <c r="A37" s="130" t="s">
        <v>998</v>
      </c>
      <c r="B37" s="164"/>
      <c r="C37" s="164"/>
      <c r="D37" s="274">
        <f>B37+C37</f>
        <v>0</v>
      </c>
      <c r="E37" s="164"/>
      <c r="F37" s="274">
        <f t="shared" si="15"/>
        <v>0</v>
      </c>
      <c r="G37" s="274">
        <v>-14000</v>
      </c>
      <c r="H37" s="274"/>
      <c r="I37" s="274"/>
      <c r="J37" s="274">
        <f t="shared" si="16"/>
        <v>0</v>
      </c>
      <c r="K37" s="433"/>
      <c r="L37" s="433"/>
    </row>
    <row r="39" spans="1:17">
      <c r="A39" s="270"/>
      <c r="F39" s="433"/>
      <c r="G39" s="433"/>
      <c r="J39" s="433"/>
    </row>
    <row r="40" spans="1:17">
      <c r="A40" s="270"/>
      <c r="H40" s="206"/>
      <c r="I40" s="206"/>
    </row>
    <row r="41" spans="1:17" s="133" customFormat="1">
      <c r="B41" s="206"/>
      <c r="C41" s="206"/>
      <c r="D41" s="206"/>
      <c r="E41" s="206"/>
      <c r="F41" s="206"/>
      <c r="G41" s="206"/>
      <c r="H41" s="5"/>
      <c r="I41" s="5"/>
      <c r="J41" s="206"/>
      <c r="K41" s="206"/>
      <c r="L41" s="5"/>
      <c r="O41" s="206"/>
    </row>
  </sheetData>
  <pageMargins left="0.35433070866141736" right="0.15748031496062992" top="0.23622047244094491" bottom="0.23622047244094491" header="0.19685039370078741" footer="0.35433070866141736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rgb="FF7030A0"/>
    <pageSetUpPr fitToPage="1"/>
  </sheetPr>
  <dimension ref="A1:M65"/>
  <sheetViews>
    <sheetView tabSelected="1" view="pageBreakPreview" zoomScaleSheetLayoutView="100" workbookViewId="0">
      <selection activeCell="C5" sqref="C5"/>
    </sheetView>
  </sheetViews>
  <sheetFormatPr defaultColWidth="8.7265625" defaultRowHeight="18"/>
  <cols>
    <col min="1" max="1" width="6.36328125" style="79" customWidth="1"/>
    <col min="2" max="2" width="42.7265625" style="93" customWidth="1"/>
    <col min="3" max="3" width="12.81640625" style="93" customWidth="1"/>
    <col min="4" max="4" width="12.1796875" style="93" bestFit="1" customWidth="1"/>
    <col min="5" max="5" width="12.1796875" style="473" bestFit="1" customWidth="1"/>
    <col min="6" max="6" width="9.26953125" style="93" bestFit="1" customWidth="1"/>
    <col min="7" max="8" width="8.7265625" style="93"/>
    <col min="9" max="10" width="12.1796875" style="93" bestFit="1" customWidth="1"/>
    <col min="11" max="11" width="12.36328125" style="93" bestFit="1" customWidth="1"/>
    <col min="12" max="16384" width="8.7265625" style="93"/>
  </cols>
  <sheetData>
    <row r="1" spans="1:13" ht="18.75" thickBot="1">
      <c r="A1" s="73" t="s">
        <v>21</v>
      </c>
      <c r="B1" s="74" t="s">
        <v>22</v>
      </c>
      <c r="C1" s="75">
        <v>2023</v>
      </c>
      <c r="D1" s="75">
        <v>2024</v>
      </c>
      <c r="E1" s="75">
        <v>2025</v>
      </c>
      <c r="K1" s="440">
        <v>2022</v>
      </c>
      <c r="L1" s="440">
        <v>2023</v>
      </c>
      <c r="M1" s="440">
        <v>2024</v>
      </c>
    </row>
    <row r="2" spans="1:13">
      <c r="A2" s="399" t="s">
        <v>23</v>
      </c>
      <c r="B2" s="400" t="s">
        <v>97</v>
      </c>
      <c r="C2" s="401">
        <f>SUM(C3:C9)</f>
        <v>1248697.3399999999</v>
      </c>
      <c r="D2" s="401">
        <f>SUM(D3:D9)</f>
        <v>915964.48</v>
      </c>
      <c r="E2" s="401">
        <f>SUM(E3:E9)</f>
        <v>891856.38000000012</v>
      </c>
      <c r="G2" s="384"/>
      <c r="I2" s="351" t="e">
        <f>ROUND(#REF!/1000,0)-1</f>
        <v>#REF!</v>
      </c>
      <c r="J2" s="351">
        <f>ROUND(F2,1)</f>
        <v>0</v>
      </c>
      <c r="K2" s="351">
        <v>885348.75</v>
      </c>
      <c r="L2" s="351">
        <v>857019.82000000007</v>
      </c>
      <c r="M2" s="351">
        <v>837413.14000000013</v>
      </c>
    </row>
    <row r="3" spans="1:13" ht="30">
      <c r="A3" s="76" t="s">
        <v>24</v>
      </c>
      <c r="B3" s="179" t="s">
        <v>43</v>
      </c>
      <c r="C3" s="77">
        <f>'Вед-я стр-ра'!H39</f>
        <v>2264.09</v>
      </c>
      <c r="D3" s="77">
        <f>'Вед-я стр-ра'!I39</f>
        <v>2264.09</v>
      </c>
      <c r="E3" s="77">
        <f>'Вед-я стр-ра'!J39</f>
        <v>2264.09</v>
      </c>
      <c r="I3" s="351"/>
      <c r="J3" s="351"/>
      <c r="K3" s="351">
        <v>2062.0100000000002</v>
      </c>
      <c r="L3" s="351">
        <v>2062.0100000000002</v>
      </c>
      <c r="M3" s="351">
        <v>2062.0100000000002</v>
      </c>
    </row>
    <row r="4" spans="1:13" ht="45">
      <c r="A4" s="76" t="s">
        <v>25</v>
      </c>
      <c r="B4" s="179" t="s">
        <v>88</v>
      </c>
      <c r="C4" s="77">
        <f>'Вед-я стр-ра'!H7</f>
        <v>56844.72</v>
      </c>
      <c r="D4" s="77">
        <f>'Вед-я стр-ра'!I7</f>
        <v>55540.840000000004</v>
      </c>
      <c r="E4" s="77">
        <f>'Вед-я стр-ра'!J7</f>
        <v>55540.840000000004</v>
      </c>
      <c r="I4" s="351"/>
      <c r="J4" s="351"/>
      <c r="K4" s="351">
        <v>54258.950000000004</v>
      </c>
      <c r="L4" s="351">
        <v>54260.250000000007</v>
      </c>
      <c r="M4" s="351">
        <v>54260.250000000007</v>
      </c>
    </row>
    <row r="5" spans="1:13" ht="45">
      <c r="A5" s="76" t="s">
        <v>26</v>
      </c>
      <c r="B5" s="179" t="s">
        <v>41</v>
      </c>
      <c r="C5" s="77">
        <f>'Вед-я стр-ра'!H46+'Вед-я стр-ра'!H900+'Вед-я стр-ра'!H972+'Вед-я стр-ра'!H1034</f>
        <v>290702.06000000006</v>
      </c>
      <c r="D5" s="77">
        <f>'Вед-я стр-ра'!I46+'Вед-я стр-ра'!I900+'Вед-я стр-ра'!I972+'Вед-я стр-ра'!I1034</f>
        <v>290712.82</v>
      </c>
      <c r="E5" s="77">
        <f>'Вед-я стр-ра'!J46+'Вед-я стр-ра'!J900+'Вед-я стр-ра'!J972+'Вед-я стр-ра'!J1034</f>
        <v>290842.48000000004</v>
      </c>
      <c r="I5" s="351"/>
      <c r="J5" s="351"/>
      <c r="K5" s="351">
        <v>259754.5</v>
      </c>
      <c r="L5" s="351">
        <v>259539.18000000002</v>
      </c>
      <c r="M5" s="351">
        <v>259539.18000000002</v>
      </c>
    </row>
    <row r="6" spans="1:13">
      <c r="A6" s="76" t="s">
        <v>27</v>
      </c>
      <c r="B6" s="179" t="s">
        <v>89</v>
      </c>
      <c r="C6" s="77">
        <f>'Вед-я стр-ра'!H60</f>
        <v>56.23</v>
      </c>
      <c r="D6" s="77">
        <f>'Вед-я стр-ра'!I60</f>
        <v>58.94</v>
      </c>
      <c r="E6" s="77">
        <f>'Вед-я стр-ра'!J60</f>
        <v>52.68</v>
      </c>
      <c r="I6" s="351"/>
      <c r="J6" s="351"/>
      <c r="K6" s="351">
        <v>1189.79</v>
      </c>
      <c r="L6" s="351">
        <v>99.15</v>
      </c>
      <c r="M6" s="351">
        <v>99.15</v>
      </c>
    </row>
    <row r="7" spans="1:13" ht="30">
      <c r="A7" s="76" t="s">
        <v>28</v>
      </c>
      <c r="B7" s="179" t="s">
        <v>42</v>
      </c>
      <c r="C7" s="77">
        <f>'Вед-я стр-ра'!H209+'Вед-я стр-ра'!H1368</f>
        <v>80930.469999999987</v>
      </c>
      <c r="D7" s="77">
        <f>'Вед-я стр-ра'!I209+'Вед-я стр-ра'!I1368</f>
        <v>80463.5</v>
      </c>
      <c r="E7" s="77">
        <f>'Вед-я стр-ра'!J209+'Вед-я стр-ра'!J1368</f>
        <v>80481.83</v>
      </c>
      <c r="I7" s="351"/>
      <c r="J7" s="351"/>
      <c r="K7" s="351">
        <v>78712.81</v>
      </c>
      <c r="L7" s="351">
        <v>73568.53</v>
      </c>
      <c r="M7" s="351">
        <v>73568.53</v>
      </c>
    </row>
    <row r="8" spans="1:13">
      <c r="A8" s="76" t="s">
        <v>126</v>
      </c>
      <c r="B8" s="179" t="s">
        <v>92</v>
      </c>
      <c r="C8" s="77">
        <f>'Вед-я стр-ра'!H218</f>
        <v>82232.110000000015</v>
      </c>
      <c r="D8" s="77">
        <f>'Вед-я стр-ра'!I218</f>
        <v>28121.78</v>
      </c>
      <c r="E8" s="77">
        <f>'Вед-я стр-ра'!J218</f>
        <v>3230.3200000000061</v>
      </c>
      <c r="I8" s="351"/>
      <c r="J8" s="351"/>
      <c r="K8" s="351">
        <v>37016.230000000003</v>
      </c>
      <c r="L8" s="351">
        <v>42484.23</v>
      </c>
      <c r="M8" s="351">
        <v>37484.230000000003</v>
      </c>
    </row>
    <row r="9" spans="1:13">
      <c r="A9" s="76" t="s">
        <v>127</v>
      </c>
      <c r="B9" s="179" t="s">
        <v>70</v>
      </c>
      <c r="C9" s="77">
        <f>'Вед-я стр-ра'!H65+'Вед-я стр-ра'!H166+'Вед-я стр-ра'!H223+'Вед-я стр-ра'!H240+'Вед-я стр-ра'!H655+'Вед-я стр-ра'!H914+'Вед-я стр-ра'!H986+'Вед-я стр-ра'!H1048+'Вед-я стр-ра'!H1104+'Вед-я стр-ра'!H1244</f>
        <v>735667.65999999992</v>
      </c>
      <c r="D9" s="77">
        <f>'Вед-я стр-ра'!I65+'Вед-я стр-ра'!I166+'Вед-я стр-ра'!I223+'Вед-я стр-ра'!I240+'Вед-я стр-ра'!I655+'Вед-я стр-ра'!I914+'Вед-я стр-ра'!I986+'Вед-я стр-ра'!I1048+'Вед-я стр-ра'!I1104+'Вед-я стр-ра'!I1244</f>
        <v>458802.51000000007</v>
      </c>
      <c r="E9" s="77">
        <f>'Вед-я стр-ра'!J65+'Вед-я стр-ра'!J166+'Вед-я стр-ра'!J223+'Вед-я стр-ра'!J240+'Вед-я стр-ра'!J655+'Вед-я стр-ра'!J914+'Вед-я стр-ра'!J986+'Вед-я стр-ра'!J1048+'Вед-я стр-ра'!J1104+'Вед-я стр-ра'!J1244</f>
        <v>459444.14</v>
      </c>
      <c r="I9" s="351"/>
      <c r="J9" s="351"/>
      <c r="K9" s="351">
        <v>452354.45999999996</v>
      </c>
      <c r="L9" s="351">
        <v>425006.47000000003</v>
      </c>
      <c r="M9" s="351">
        <v>410399.79</v>
      </c>
    </row>
    <row r="10" spans="1:13" ht="29.25">
      <c r="A10" s="402" t="s">
        <v>29</v>
      </c>
      <c r="B10" s="403" t="s">
        <v>12</v>
      </c>
      <c r="C10" s="404">
        <f>SUM(C11:C12)</f>
        <v>127094.92</v>
      </c>
      <c r="D10" s="404">
        <f>SUM(D11:D12)</f>
        <v>127160.93</v>
      </c>
      <c r="E10" s="404">
        <f>SUM(E11:E12)</f>
        <v>127229.57999999999</v>
      </c>
      <c r="F10" s="412"/>
      <c r="G10" s="391"/>
      <c r="I10" s="351" t="e">
        <f>ROUND(#REF!/1000,0)</f>
        <v>#REF!</v>
      </c>
      <c r="J10" s="351">
        <f>ROUND(F10,1)</f>
        <v>0</v>
      </c>
      <c r="K10" s="351">
        <v>116151.70999999998</v>
      </c>
      <c r="L10" s="351">
        <v>110431.58999999998</v>
      </c>
      <c r="M10" s="351">
        <v>110431.58999999998</v>
      </c>
    </row>
    <row r="11" spans="1:13" ht="30">
      <c r="A11" s="429" t="s">
        <v>1000</v>
      </c>
      <c r="B11" s="430" t="s">
        <v>1001</v>
      </c>
      <c r="C11" s="431">
        <f>'Вед-я стр-ра'!H1324</f>
        <v>126594.92</v>
      </c>
      <c r="D11" s="431">
        <f>'Вед-я стр-ра'!I1324</f>
        <v>126660.93</v>
      </c>
      <c r="E11" s="431">
        <f>'Вед-я стр-ра'!J1324</f>
        <v>126729.57999999999</v>
      </c>
      <c r="I11" s="351"/>
      <c r="J11" s="351"/>
      <c r="K11" s="351">
        <v>115651.70999999998</v>
      </c>
      <c r="L11" s="351">
        <v>109931.58999999998</v>
      </c>
      <c r="M11" s="351">
        <v>109931.58999999998</v>
      </c>
    </row>
    <row r="12" spans="1:13" s="428" customFormat="1" ht="30">
      <c r="A12" s="432" t="s">
        <v>1026</v>
      </c>
      <c r="B12" s="430" t="s">
        <v>1025</v>
      </c>
      <c r="C12" s="77">
        <f>'Вед-я стр-ра'!H126</f>
        <v>500</v>
      </c>
      <c r="D12" s="77">
        <f>'Вед-я стр-ра'!I126</f>
        <v>500</v>
      </c>
      <c r="E12" s="77">
        <f>'Вед-я стр-ра'!J126</f>
        <v>500</v>
      </c>
      <c r="I12" s="351"/>
      <c r="J12" s="351"/>
      <c r="K12" s="351">
        <v>500</v>
      </c>
      <c r="L12" s="351">
        <v>500</v>
      </c>
      <c r="M12" s="351">
        <v>500</v>
      </c>
    </row>
    <row r="13" spans="1:13">
      <c r="A13" s="399" t="s">
        <v>45</v>
      </c>
      <c r="B13" s="400" t="s">
        <v>67</v>
      </c>
      <c r="C13" s="401">
        <f>SUM(C14:C17)</f>
        <v>1588134.58</v>
      </c>
      <c r="D13" s="401">
        <f>SUM(D14:D17)</f>
        <v>576771.80000000016</v>
      </c>
      <c r="E13" s="401">
        <f>SUM(E14:E17)</f>
        <v>576978.67000000004</v>
      </c>
      <c r="F13" s="412"/>
      <c r="G13" s="391"/>
      <c r="I13" s="351" t="e">
        <f>ROUND(#REF!/1000,0)</f>
        <v>#REF!</v>
      </c>
      <c r="J13" s="351">
        <f>ROUND(F13,1)</f>
        <v>0</v>
      </c>
      <c r="K13" s="351">
        <v>1296892.6700000002</v>
      </c>
      <c r="L13" s="351">
        <v>1011932.87</v>
      </c>
      <c r="M13" s="351">
        <v>588276.99000000011</v>
      </c>
    </row>
    <row r="14" spans="1:13" s="381" customFormat="1">
      <c r="A14" s="76" t="s">
        <v>888</v>
      </c>
      <c r="B14" s="179" t="s">
        <v>880</v>
      </c>
      <c r="C14" s="77">
        <f>'Вед-я стр-ра'!H1121</f>
        <v>3821.9700000000003</v>
      </c>
      <c r="D14" s="77">
        <f>'Вед-я стр-ра'!I1121</f>
        <v>3821.9700000000003</v>
      </c>
      <c r="E14" s="77">
        <f>'Вед-я стр-ра'!J1121</f>
        <v>3821.9700000000003</v>
      </c>
      <c r="I14" s="351"/>
      <c r="J14" s="351"/>
      <c r="K14" s="351">
        <v>3507.19</v>
      </c>
      <c r="L14" s="351">
        <v>3507.19</v>
      </c>
      <c r="M14" s="351">
        <v>3507.19</v>
      </c>
    </row>
    <row r="15" spans="1:13">
      <c r="A15" s="76" t="s">
        <v>110</v>
      </c>
      <c r="B15" s="179" t="s">
        <v>109</v>
      </c>
      <c r="C15" s="77">
        <f>'Вед-я стр-ра'!H1127</f>
        <v>21135.38</v>
      </c>
      <c r="D15" s="77">
        <f>'Вед-я стр-ра'!I1127</f>
        <v>21140.34</v>
      </c>
      <c r="E15" s="77">
        <f>'Вед-я стр-ра'!J1127</f>
        <v>21145.48</v>
      </c>
      <c r="I15" s="351"/>
      <c r="J15" s="351"/>
      <c r="K15" s="351">
        <v>21041.64</v>
      </c>
      <c r="L15" s="351">
        <v>20076.18</v>
      </c>
      <c r="M15" s="351">
        <v>20076.18</v>
      </c>
    </row>
    <row r="16" spans="1:13">
      <c r="A16" s="76" t="s">
        <v>128</v>
      </c>
      <c r="B16" s="179" t="s">
        <v>125</v>
      </c>
      <c r="C16" s="77">
        <f>'Вед-я стр-ра'!H927+'Вед-я стр-ра'!H997+'Вед-я стр-ра'!H1061+'Вед-я стр-ра'!H1133</f>
        <v>1547329.43</v>
      </c>
      <c r="D16" s="77">
        <f>'Вед-я стр-ра'!I927+'Вед-я стр-ра'!I997+'Вед-я стр-ра'!I1061+'Вед-я стр-ра'!I1133</f>
        <v>535961.69000000006</v>
      </c>
      <c r="E16" s="77">
        <f>'Вед-я стр-ра'!J927+'Вед-я стр-ра'!J997+'Вед-я стр-ра'!J1061+'Вед-я стр-ра'!J1133</f>
        <v>536163.42000000004</v>
      </c>
      <c r="F16" s="351"/>
      <c r="G16" s="351"/>
      <c r="I16" s="351"/>
      <c r="J16" s="77"/>
      <c r="K16" s="351">
        <v>1250108.78</v>
      </c>
      <c r="L16" s="351">
        <v>972321.7</v>
      </c>
      <c r="M16" s="351">
        <v>548665.82000000007</v>
      </c>
    </row>
    <row r="17" spans="1:13">
      <c r="A17" s="76" t="s">
        <v>46</v>
      </c>
      <c r="B17" s="179" t="s">
        <v>106</v>
      </c>
      <c r="C17" s="77">
        <f>'Вед-я стр-ра'!H193+'Вед-я стр-ра'!H280+'Вед-я стр-ра'!H1271</f>
        <v>15847.8</v>
      </c>
      <c r="D17" s="77">
        <f>'Вед-я стр-ра'!I193+'Вед-я стр-ра'!I280+'Вед-я стр-ра'!I1271</f>
        <v>15847.8</v>
      </c>
      <c r="E17" s="77">
        <f>'Вед-я стр-ра'!J193+'Вед-я стр-ра'!J280+'Вед-я стр-ра'!J1271</f>
        <v>15847.8</v>
      </c>
      <c r="I17" s="351"/>
      <c r="J17" s="351"/>
      <c r="K17" s="351">
        <v>22235.059999999998</v>
      </c>
      <c r="L17" s="351">
        <v>16027.8</v>
      </c>
      <c r="M17" s="351">
        <v>16027.8</v>
      </c>
    </row>
    <row r="18" spans="1:13">
      <c r="A18" s="402" t="s">
        <v>47</v>
      </c>
      <c r="B18" s="403" t="s">
        <v>6</v>
      </c>
      <c r="C18" s="404">
        <f>SUM(C19:C22)</f>
        <v>697615.34000000008</v>
      </c>
      <c r="D18" s="404">
        <f>SUM(D19:D22)</f>
        <v>457725.18000000005</v>
      </c>
      <c r="E18" s="404">
        <f>SUM(E19:E22)</f>
        <v>453898.46</v>
      </c>
      <c r="F18" s="412"/>
      <c r="G18" s="391"/>
      <c r="I18" s="351" t="e">
        <f>ROUND(#REF!/1000,0)</f>
        <v>#REF!</v>
      </c>
      <c r="J18" s="351">
        <f>ROUND(F18,1)</f>
        <v>0</v>
      </c>
      <c r="K18" s="351">
        <v>711014.01</v>
      </c>
      <c r="L18" s="351">
        <v>442814.22000000003</v>
      </c>
      <c r="M18" s="351">
        <v>442814.21</v>
      </c>
    </row>
    <row r="19" spans="1:13">
      <c r="A19" s="76" t="s">
        <v>48</v>
      </c>
      <c r="B19" s="179" t="s">
        <v>8</v>
      </c>
      <c r="C19" s="77">
        <f>'Вед-я стр-ра'!H936+'Вед-я стр-ра'!H1006+'Вед-я стр-ра'!H1070+'Вед-я стр-ра'!H1285</f>
        <v>10378.140000000001</v>
      </c>
      <c r="D19" s="77">
        <f>'Вед-я стр-ра'!I936+'Вед-я стр-ра'!I1006+'Вед-я стр-ра'!I1070</f>
        <v>6598.1400000000012</v>
      </c>
      <c r="E19" s="77">
        <f>'Вед-я стр-ра'!J936+'Вед-я стр-ра'!J1006+'Вед-я стр-ра'!J1070</f>
        <v>6598.1400000000012</v>
      </c>
      <c r="I19" s="351"/>
      <c r="J19" s="351"/>
      <c r="K19" s="351">
        <v>8737.6</v>
      </c>
      <c r="L19" s="351">
        <v>7117.6</v>
      </c>
      <c r="M19" s="351">
        <v>7117.6</v>
      </c>
    </row>
    <row r="20" spans="1:13">
      <c r="A20" s="76" t="s">
        <v>49</v>
      </c>
      <c r="B20" s="179" t="s">
        <v>9</v>
      </c>
      <c r="C20" s="77">
        <f>'Вед-я стр-ра'!H1173</f>
        <v>81.86</v>
      </c>
      <c r="D20" s="77">
        <f>'Вед-я стр-ра'!I1173</f>
        <v>81.86</v>
      </c>
      <c r="E20" s="77">
        <f>'Вед-я стр-ра'!J1173</f>
        <v>81.86</v>
      </c>
      <c r="I20" s="351"/>
      <c r="J20" s="351"/>
      <c r="K20" s="351">
        <v>106664.27</v>
      </c>
      <c r="L20" s="351">
        <v>58.040000000000006</v>
      </c>
      <c r="M20" s="351">
        <v>58.040000000000006</v>
      </c>
    </row>
    <row r="21" spans="1:13">
      <c r="A21" s="76" t="s">
        <v>50</v>
      </c>
      <c r="B21" s="179" t="s">
        <v>1</v>
      </c>
      <c r="C21" s="77">
        <f>'Вед-я стр-ра'!H942+'Вед-я стр-ра'!H1012+'Вед-я стр-ра'!H1076+'Вед-я стр-ра'!H1179</f>
        <v>621922.7300000001</v>
      </c>
      <c r="D21" s="77">
        <f>'Вед-я стр-ра'!I942+'Вед-я стр-ра'!I1012+'Вед-я стр-ра'!I1076+'Вед-я стр-ра'!I1179</f>
        <v>385769.42000000004</v>
      </c>
      <c r="E21" s="77">
        <f>'Вед-я стр-ра'!J942+'Вед-я стр-ра'!J1012+'Вед-я стр-ра'!J1076+'Вед-я стр-ра'!J1179</f>
        <v>381897.82</v>
      </c>
      <c r="I21" s="351"/>
      <c r="J21" s="351"/>
      <c r="K21" s="351">
        <v>535681.15</v>
      </c>
      <c r="L21" s="351">
        <v>376133.91000000003</v>
      </c>
      <c r="M21" s="351">
        <v>376133.9</v>
      </c>
    </row>
    <row r="22" spans="1:13">
      <c r="A22" s="76" t="s">
        <v>51</v>
      </c>
      <c r="B22" s="179" t="s">
        <v>3</v>
      </c>
      <c r="C22" s="77">
        <f>'Вед-я стр-ра'!H1218</f>
        <v>65232.61</v>
      </c>
      <c r="D22" s="77">
        <f>'Вед-я стр-ра'!I1218</f>
        <v>65275.76</v>
      </c>
      <c r="E22" s="77">
        <f>'Вед-я стр-ра'!J1218</f>
        <v>65320.639999999999</v>
      </c>
      <c r="I22" s="351"/>
      <c r="J22" s="351"/>
      <c r="K22" s="351">
        <v>59930.990000000005</v>
      </c>
      <c r="L22" s="351">
        <v>59504.67</v>
      </c>
      <c r="M22" s="351">
        <v>59504.67</v>
      </c>
    </row>
    <row r="23" spans="1:13">
      <c r="A23" s="402" t="s">
        <v>52</v>
      </c>
      <c r="B23" s="403" t="s">
        <v>103</v>
      </c>
      <c r="C23" s="404">
        <f>SUM(C24:C29)</f>
        <v>8889811.4699999988</v>
      </c>
      <c r="D23" s="404">
        <f>SUM(D24:D29)</f>
        <v>8872727.5199999996</v>
      </c>
      <c r="E23" s="404">
        <f>SUM(E24:E29)</f>
        <v>6776449.1899999995</v>
      </c>
      <c r="F23" s="412"/>
      <c r="G23" s="391"/>
      <c r="I23" s="351" t="e">
        <f>ROUND(#REF!/1000,0)</f>
        <v>#REF!</v>
      </c>
      <c r="J23" s="351">
        <f>ROUND(F23,1)</f>
        <v>0</v>
      </c>
      <c r="K23" s="351">
        <v>7482744.7299999995</v>
      </c>
      <c r="L23" s="351">
        <v>5942914.0700000003</v>
      </c>
      <c r="M23" s="351">
        <v>6272784.7400000012</v>
      </c>
    </row>
    <row r="24" spans="1:13">
      <c r="A24" s="76" t="s">
        <v>53</v>
      </c>
      <c r="B24" s="179" t="s">
        <v>105</v>
      </c>
      <c r="C24" s="77">
        <f>'Вед-я стр-ра'!H320+'Вед-я стр-ра'!H1291</f>
        <v>2873536.1599999997</v>
      </c>
      <c r="D24" s="77">
        <f>'Вед-я стр-ра'!I320+'Вед-я стр-ра'!I1291</f>
        <v>2577595.16</v>
      </c>
      <c r="E24" s="77">
        <f>'Вед-я стр-ра'!J320+'Вед-я стр-ра'!J1291</f>
        <v>2574981.2200000002</v>
      </c>
      <c r="I24" s="351"/>
      <c r="J24" s="351"/>
      <c r="K24" s="351">
        <v>2402762.1799999997</v>
      </c>
      <c r="L24" s="351">
        <v>2559972.7699999996</v>
      </c>
      <c r="M24" s="351">
        <v>2293251.2199999997</v>
      </c>
    </row>
    <row r="25" spans="1:13">
      <c r="A25" s="76" t="s">
        <v>54</v>
      </c>
      <c r="B25" s="179" t="s">
        <v>94</v>
      </c>
      <c r="C25" s="77">
        <f>'Вед-я стр-ра'!H354+'Вед-я стр-ра'!H1303</f>
        <v>5393030.1199999992</v>
      </c>
      <c r="D25" s="77">
        <f>'Вед-я стр-ра'!I354+'Вед-я стр-ра'!I1303</f>
        <v>5680262.3300000001</v>
      </c>
      <c r="E25" s="77">
        <f>'Вед-я стр-ра'!J354+'Вед-я стр-ра'!J1303</f>
        <v>3585468.37</v>
      </c>
      <c r="I25" s="351"/>
      <c r="J25" s="351"/>
      <c r="K25" s="351">
        <v>4520618.3499999996</v>
      </c>
      <c r="L25" s="351">
        <v>2844244.8600000003</v>
      </c>
      <c r="M25" s="351">
        <v>3440837.0800000005</v>
      </c>
    </row>
    <row r="26" spans="1:13" s="177" customFormat="1">
      <c r="A26" s="76" t="s">
        <v>736</v>
      </c>
      <c r="B26" s="179" t="s">
        <v>683</v>
      </c>
      <c r="C26" s="77">
        <f>'Вед-я стр-ра'!H420+'Вед-я стр-ра'!H509+'Вед-я стр-ра'!H820</f>
        <v>501166.45000000007</v>
      </c>
      <c r="D26" s="77">
        <f>'Вед-я стр-ра'!I420+'Вед-я стр-ра'!I509+'Вед-я стр-ра'!I820</f>
        <v>492849.74000000005</v>
      </c>
      <c r="E26" s="77">
        <f>'Вед-я стр-ра'!J420+'Вед-я стр-ра'!J509+'Вед-я стр-ра'!J820</f>
        <v>493544.35000000003</v>
      </c>
      <c r="I26" s="351"/>
      <c r="J26" s="351"/>
      <c r="K26" s="351">
        <v>462068.66000000003</v>
      </c>
      <c r="L26" s="351">
        <v>441392.11</v>
      </c>
      <c r="M26" s="351">
        <v>441392.11</v>
      </c>
    </row>
    <row r="27" spans="1:13" s="107" customFormat="1" ht="30">
      <c r="A27" s="76" t="s">
        <v>570</v>
      </c>
      <c r="B27" s="179" t="s">
        <v>569</v>
      </c>
      <c r="C27" s="77">
        <f>'Вед-я стр-ра'!H134</f>
        <v>160</v>
      </c>
      <c r="D27" s="77">
        <f>'Вед-я стр-ра'!I134</f>
        <v>160</v>
      </c>
      <c r="E27" s="77">
        <f>'Вед-я стр-ра'!J134</f>
        <v>160</v>
      </c>
      <c r="I27" s="351"/>
      <c r="J27" s="351"/>
      <c r="K27" s="351">
        <v>160</v>
      </c>
      <c r="L27" s="351">
        <v>160</v>
      </c>
      <c r="M27" s="351">
        <v>160</v>
      </c>
    </row>
    <row r="28" spans="1:13">
      <c r="A28" s="76" t="s">
        <v>55</v>
      </c>
      <c r="B28" s="179" t="s">
        <v>737</v>
      </c>
      <c r="C28" s="77">
        <f>'Вед-я стр-ра'!H542</f>
        <v>16530.11</v>
      </c>
      <c r="D28" s="77">
        <f>'Вед-я стр-ра'!I542</f>
        <v>16531.78</v>
      </c>
      <c r="E28" s="77">
        <f>'Вед-я стр-ра'!J542</f>
        <v>16533.52</v>
      </c>
      <c r="I28" s="351"/>
      <c r="J28" s="351"/>
      <c r="K28" s="351">
        <v>37591.01</v>
      </c>
      <c r="L28" s="351">
        <v>37591.01</v>
      </c>
      <c r="M28" s="351">
        <v>37591.01</v>
      </c>
    </row>
    <row r="29" spans="1:13">
      <c r="A29" s="76" t="s">
        <v>56</v>
      </c>
      <c r="B29" s="179" t="s">
        <v>32</v>
      </c>
      <c r="C29" s="77">
        <f>'Вед-я стр-ра'!H451</f>
        <v>105388.63</v>
      </c>
      <c r="D29" s="77">
        <f>'Вед-я стр-ра'!I451</f>
        <v>105328.51000000001</v>
      </c>
      <c r="E29" s="77">
        <f>'Вед-я стр-ра'!J451</f>
        <v>105761.73000000001</v>
      </c>
      <c r="I29" s="351"/>
      <c r="J29" s="351"/>
      <c r="K29" s="351">
        <v>59544.53</v>
      </c>
      <c r="L29" s="351">
        <v>59553.32</v>
      </c>
      <c r="M29" s="351">
        <v>59553.32</v>
      </c>
    </row>
    <row r="30" spans="1:13">
      <c r="A30" s="402" t="s">
        <v>57</v>
      </c>
      <c r="B30" s="403" t="s">
        <v>438</v>
      </c>
      <c r="C30" s="404">
        <f>SUM(C31:C32)</f>
        <v>454077.58</v>
      </c>
      <c r="D30" s="404">
        <f>SUM(D31:D32)</f>
        <v>437523.68000000005</v>
      </c>
      <c r="E30" s="404">
        <f>SUM(E31:E32)</f>
        <v>438405.64</v>
      </c>
      <c r="F30" s="412"/>
      <c r="G30" s="391"/>
      <c r="I30" s="351" t="e">
        <f>ROUND(#REF!/1000,0)</f>
        <v>#REF!</v>
      </c>
      <c r="J30" s="351">
        <f>ROUND(F30,1)</f>
        <v>0</v>
      </c>
      <c r="K30" s="351">
        <v>378781.43000000005</v>
      </c>
      <c r="L30" s="351">
        <v>375751.2</v>
      </c>
      <c r="M30" s="351">
        <v>375751.2</v>
      </c>
    </row>
    <row r="31" spans="1:13">
      <c r="A31" s="76" t="s">
        <v>58</v>
      </c>
      <c r="B31" s="179" t="s">
        <v>35</v>
      </c>
      <c r="C31" s="77">
        <f>'Вед-я стр-ра'!H141+'Вед-я стр-ра'!H304+'Вед-я стр-ра'!H576+'Вед-я стр-ра'!H961+'Вед-я стр-ра'!H1023+'Вед-я стр-ра'!H1089+'Вед-я стр-ра'!H1315+'Вед-я стр-ра'!H1228+'Вед-я стр-ра'!H666</f>
        <v>433743.57</v>
      </c>
      <c r="D31" s="77">
        <f>'Вед-я стр-ра'!I141+'Вед-я стр-ра'!I304+'Вед-я стр-ра'!I576+'Вед-я стр-ра'!I961+'Вед-я стр-ра'!I1023+'Вед-я стр-ра'!I1089+'Вед-я стр-ра'!I1315+'Вед-я стр-ра'!I1228+'Вед-я стр-ра'!I666</f>
        <v>417177.98000000004</v>
      </c>
      <c r="E31" s="77">
        <f>'Вед-я стр-ра'!J141+'Вед-я стр-ра'!J304+'Вед-я стр-ра'!J576+'Вед-я стр-ра'!J961+'Вед-я стр-ра'!J1023+'Вед-я стр-ра'!J1089+'Вед-я стр-ра'!J1315+'Вед-я стр-ра'!J1228+'Вед-я стр-ра'!J666</f>
        <v>418047.78</v>
      </c>
      <c r="I31" s="351"/>
      <c r="J31" s="351"/>
      <c r="K31" s="351">
        <v>360731.83000000007</v>
      </c>
      <c r="L31" s="351">
        <v>357885.29000000004</v>
      </c>
      <c r="M31" s="351">
        <v>357885.29000000004</v>
      </c>
    </row>
    <row r="32" spans="1:13">
      <c r="A32" s="76" t="s">
        <v>122</v>
      </c>
      <c r="B32" s="179" t="s">
        <v>586</v>
      </c>
      <c r="C32" s="77">
        <f>'Вед-я стр-ра'!H640</f>
        <v>20334.009999999998</v>
      </c>
      <c r="D32" s="77">
        <f>'Вед-я стр-ра'!I640</f>
        <v>20345.699999999997</v>
      </c>
      <c r="E32" s="77">
        <f>'Вед-я стр-ра'!J640</f>
        <v>20357.859999999997</v>
      </c>
      <c r="I32" s="351"/>
      <c r="J32" s="351"/>
      <c r="K32" s="351">
        <v>18049.599999999999</v>
      </c>
      <c r="L32" s="351">
        <v>17865.91</v>
      </c>
      <c r="M32" s="351">
        <v>17865.91</v>
      </c>
    </row>
    <row r="33" spans="1:13">
      <c r="A33" s="402" t="s">
        <v>59</v>
      </c>
      <c r="B33" s="403" t="s">
        <v>81</v>
      </c>
      <c r="C33" s="404">
        <f>SUM(C34:C36)</f>
        <v>3096823.24</v>
      </c>
      <c r="D33" s="404">
        <f>SUM(D34:D36)</f>
        <v>2481227.42</v>
      </c>
      <c r="E33" s="404">
        <f>SUM(E34:E36)</f>
        <v>2428870.13</v>
      </c>
      <c r="F33" s="412"/>
      <c r="G33" s="391"/>
      <c r="I33" s="351" t="e">
        <f>ROUND(#REF!/1000,0)-1</f>
        <v>#REF!</v>
      </c>
      <c r="J33" s="351">
        <f>ROUND(F33,1)</f>
        <v>0</v>
      </c>
      <c r="K33" s="351">
        <v>4453116.13</v>
      </c>
      <c r="L33" s="351">
        <v>4551294.5600000005</v>
      </c>
      <c r="M33" s="351">
        <v>4696067.3599999994</v>
      </c>
    </row>
    <row r="34" spans="1:13">
      <c r="A34" s="76" t="s">
        <v>60</v>
      </c>
      <c r="B34" s="179" t="s">
        <v>96</v>
      </c>
      <c r="C34" s="77">
        <f>'Вед-я стр-ра'!H311+'Вед-я стр-ра'!H673+'Вед-я стр-ра'!H1235</f>
        <v>1792027.83</v>
      </c>
      <c r="D34" s="77">
        <f>'Вед-я стр-ра'!I311+'Вед-я стр-ра'!I673+'Вед-я стр-ра'!I1235</f>
        <v>1763636.21</v>
      </c>
      <c r="E34" s="77">
        <f>'Вед-я стр-ра'!J311+'Вед-я стр-ра'!J673+'Вед-я стр-ра'!J1235</f>
        <v>1774022.9900000002</v>
      </c>
      <c r="I34" s="351"/>
      <c r="J34" s="351"/>
      <c r="K34" s="351">
        <v>1759239.9100000001</v>
      </c>
      <c r="L34" s="351">
        <v>1747650.29</v>
      </c>
      <c r="M34" s="351">
        <v>1755495.19</v>
      </c>
    </row>
    <row r="35" spans="1:13">
      <c r="A35" s="76" t="s">
        <v>61</v>
      </c>
      <c r="B35" s="179" t="s">
        <v>30</v>
      </c>
      <c r="C35" s="77">
        <f>'Вед-я стр-ра'!H200+'Вед-я стр-ра'!H485+'Вед-я стр-ра'!H764</f>
        <v>1201596.2000000002</v>
      </c>
      <c r="D35" s="77">
        <f>'Вед-я стр-ра'!I200+'Вед-я стр-ра'!I485+'Вед-я стр-ра'!I764</f>
        <v>618650</v>
      </c>
      <c r="E35" s="77">
        <f>'Вед-я стр-ра'!J200+'Вед-я стр-ра'!J485+'Вед-я стр-ра'!J764</f>
        <v>555888.15</v>
      </c>
      <c r="I35" s="351"/>
      <c r="J35" s="351"/>
      <c r="K35" s="351">
        <v>2597372.36</v>
      </c>
      <c r="L35" s="351">
        <v>2708745.6500000004</v>
      </c>
      <c r="M35" s="351">
        <v>2845672.75</v>
      </c>
    </row>
    <row r="36" spans="1:13">
      <c r="A36" s="76" t="s">
        <v>62</v>
      </c>
      <c r="B36" s="179" t="s">
        <v>68</v>
      </c>
      <c r="C36" s="77">
        <f>'Вед-я стр-ра'!H784</f>
        <v>103199.20999999999</v>
      </c>
      <c r="D36" s="77">
        <f>'Вед-я стр-ра'!I784</f>
        <v>98941.209999999992</v>
      </c>
      <c r="E36" s="77">
        <f>'Вед-я стр-ра'!J784</f>
        <v>98958.989999999991</v>
      </c>
      <c r="I36" s="351"/>
      <c r="J36" s="351"/>
      <c r="K36" s="351">
        <v>96503.860000000015</v>
      </c>
      <c r="L36" s="351">
        <v>94898.620000000024</v>
      </c>
      <c r="M36" s="351">
        <v>94899.420000000013</v>
      </c>
    </row>
    <row r="37" spans="1:13">
      <c r="A37" s="402" t="s">
        <v>112</v>
      </c>
      <c r="B37" s="403" t="s">
        <v>71</v>
      </c>
      <c r="C37" s="404">
        <f>SUM(C38:C41)</f>
        <v>280275.83</v>
      </c>
      <c r="D37" s="404">
        <f>SUM(D38:D41)</f>
        <v>232163.71</v>
      </c>
      <c r="E37" s="404">
        <f>SUM(E38:E41)</f>
        <v>232321.00999999998</v>
      </c>
      <c r="F37" s="412"/>
      <c r="G37" s="391"/>
      <c r="I37" s="351" t="e">
        <f>ROUND(#REF!/1000,0)</f>
        <v>#REF!</v>
      </c>
      <c r="J37" s="351">
        <f>ROUND(F37,1)</f>
        <v>0</v>
      </c>
      <c r="K37" s="351">
        <v>211649.31999999998</v>
      </c>
      <c r="L37" s="351">
        <v>211694.52999999997</v>
      </c>
      <c r="M37" s="351">
        <v>211694.52999999997</v>
      </c>
    </row>
    <row r="38" spans="1:13">
      <c r="A38" s="76" t="s">
        <v>117</v>
      </c>
      <c r="B38" s="179" t="s">
        <v>113</v>
      </c>
      <c r="C38" s="77">
        <f>'Вед-я стр-ра'!H837</f>
        <v>4807.79</v>
      </c>
      <c r="D38" s="77">
        <f>'Вед-я стр-ра'!I837</f>
        <v>4812.79</v>
      </c>
      <c r="E38" s="77">
        <f>'Вед-я стр-ра'!J837</f>
        <v>4814.79</v>
      </c>
      <c r="I38" s="351"/>
      <c r="J38" s="351"/>
      <c r="K38" s="351">
        <v>4404.1099999999997</v>
      </c>
      <c r="L38" s="351">
        <v>4404.97</v>
      </c>
      <c r="M38" s="351">
        <v>4404.97</v>
      </c>
    </row>
    <row r="39" spans="1:13">
      <c r="A39" s="76" t="s">
        <v>118</v>
      </c>
      <c r="B39" s="179" t="s">
        <v>114</v>
      </c>
      <c r="C39" s="77">
        <f>'Вед-я стр-ра'!H843</f>
        <v>203083.15</v>
      </c>
      <c r="D39" s="77">
        <f>'Вед-я стр-ра'!I843</f>
        <v>203194.43</v>
      </c>
      <c r="E39" s="77">
        <f>'Вед-я стр-ра'!J843</f>
        <v>203349.72999999998</v>
      </c>
      <c r="I39" s="351"/>
      <c r="J39" s="351"/>
      <c r="K39" s="351">
        <v>185092.28</v>
      </c>
      <c r="L39" s="351">
        <v>185136.62999999998</v>
      </c>
      <c r="M39" s="351">
        <v>185136.62999999998</v>
      </c>
    </row>
    <row r="40" spans="1:13">
      <c r="A40" s="76" t="s">
        <v>119</v>
      </c>
      <c r="B40" s="179" t="s">
        <v>115</v>
      </c>
      <c r="C40" s="77">
        <f>'Вед-я стр-ра'!H873</f>
        <v>49728.4</v>
      </c>
      <c r="D40" s="77">
        <f>'Вед-я стр-ра'!I873</f>
        <v>1500</v>
      </c>
      <c r="E40" s="77">
        <f>'Вед-я стр-ра'!J873</f>
        <v>1500</v>
      </c>
      <c r="I40" s="351"/>
      <c r="J40" s="351"/>
      <c r="K40" s="351">
        <v>1500</v>
      </c>
      <c r="L40" s="351">
        <v>1500</v>
      </c>
      <c r="M40" s="351">
        <v>1500</v>
      </c>
    </row>
    <row r="41" spans="1:13">
      <c r="A41" s="76" t="s">
        <v>120</v>
      </c>
      <c r="B41" s="179" t="s">
        <v>116</v>
      </c>
      <c r="C41" s="77">
        <f>'Вед-я стр-ра'!H885</f>
        <v>22656.49</v>
      </c>
      <c r="D41" s="77">
        <f>'Вед-я стр-ра'!I885</f>
        <v>22656.49</v>
      </c>
      <c r="E41" s="77">
        <f>'Вед-я стр-ра'!J885</f>
        <v>22656.49</v>
      </c>
      <c r="I41" s="351"/>
      <c r="J41" s="351"/>
      <c r="K41" s="351">
        <v>20652.93</v>
      </c>
      <c r="L41" s="351">
        <v>20652.93</v>
      </c>
      <c r="M41" s="351">
        <v>20652.93</v>
      </c>
    </row>
    <row r="42" spans="1:13">
      <c r="A42" s="402" t="s">
        <v>72</v>
      </c>
      <c r="B42" s="403" t="s">
        <v>111</v>
      </c>
      <c r="C42" s="404">
        <f>SUM(C43:C44)</f>
        <v>21698</v>
      </c>
      <c r="D42" s="404">
        <f>SUM(D43:D44)</f>
        <v>21698</v>
      </c>
      <c r="E42" s="404">
        <f>SUM(E43:E44)</f>
        <v>21698</v>
      </c>
      <c r="F42" s="412"/>
      <c r="G42" s="391"/>
      <c r="I42" s="351" t="e">
        <f>ROUND(#REF!/1000,0)</f>
        <v>#REF!</v>
      </c>
      <c r="J42" s="351">
        <f>ROUND(F42,1)</f>
        <v>0</v>
      </c>
      <c r="K42" s="351">
        <v>21698</v>
      </c>
      <c r="L42" s="351">
        <v>21698</v>
      </c>
      <c r="M42" s="351">
        <v>21698</v>
      </c>
    </row>
    <row r="43" spans="1:13" s="186" customFormat="1">
      <c r="A43" s="76" t="s">
        <v>781</v>
      </c>
      <c r="B43" s="179" t="s">
        <v>768</v>
      </c>
      <c r="C43" s="77">
        <f>'Вед-я стр-ра'!H26+'Вед-я стр-ра'!H148</f>
        <v>5078.5</v>
      </c>
      <c r="D43" s="77">
        <f>'Вед-я стр-ра'!I26+'Вед-я стр-ра'!I148</f>
        <v>5078.5</v>
      </c>
      <c r="E43" s="77">
        <f>'Вед-я стр-ра'!J26+'Вед-я стр-ра'!J148</f>
        <v>5078.5</v>
      </c>
      <c r="I43" s="351"/>
      <c r="J43" s="351"/>
      <c r="K43" s="351">
        <v>6120.37</v>
      </c>
      <c r="L43" s="351">
        <v>5078.5</v>
      </c>
      <c r="M43" s="351">
        <v>5078.5</v>
      </c>
    </row>
    <row r="44" spans="1:13">
      <c r="A44" s="76" t="s">
        <v>121</v>
      </c>
      <c r="B44" s="179" t="s">
        <v>84</v>
      </c>
      <c r="C44" s="77">
        <f>'Вед-я стр-ра'!H154+'Вед-я стр-ра'!H31</f>
        <v>16619.5</v>
      </c>
      <c r="D44" s="77">
        <f>'Вед-я стр-ра'!I154+'Вед-я стр-ра'!I31</f>
        <v>16619.5</v>
      </c>
      <c r="E44" s="77">
        <f>'Вед-я стр-ра'!J154+'Вед-я стр-ра'!J31</f>
        <v>16619.5</v>
      </c>
      <c r="I44" s="351"/>
      <c r="J44" s="351"/>
      <c r="K44" s="351">
        <v>15577.630000000001</v>
      </c>
      <c r="L44" s="351">
        <v>16619.5</v>
      </c>
      <c r="M44" s="351">
        <v>16619.5</v>
      </c>
    </row>
    <row r="45" spans="1:13">
      <c r="A45" s="402" t="s">
        <v>124</v>
      </c>
      <c r="B45" s="403" t="s">
        <v>979</v>
      </c>
      <c r="C45" s="404">
        <f>SUM(C46:C46)</f>
        <v>254800</v>
      </c>
      <c r="D45" s="404">
        <f>SUM(D46:D46)</f>
        <v>254800</v>
      </c>
      <c r="E45" s="404">
        <f>SUM(E46:E46)</f>
        <v>254800</v>
      </c>
      <c r="F45" s="412"/>
      <c r="G45" s="391"/>
      <c r="I45" s="351" t="e">
        <f>ROUND(#REF!/1000,0)</f>
        <v>#REF!</v>
      </c>
      <c r="J45" s="351">
        <f>ROUND(F45,1)</f>
        <v>0</v>
      </c>
      <c r="K45" s="351">
        <v>208368.83</v>
      </c>
      <c r="L45" s="351">
        <v>218527.73</v>
      </c>
      <c r="M45" s="351">
        <v>228061</v>
      </c>
    </row>
    <row r="46" spans="1:13" ht="30">
      <c r="A46" s="76" t="s">
        <v>129</v>
      </c>
      <c r="B46" s="179" t="s">
        <v>978</v>
      </c>
      <c r="C46" s="77">
        <f>'Вед-я стр-ра'!H231</f>
        <v>254800</v>
      </c>
      <c r="D46" s="77">
        <f>'Вед-я стр-ра'!I231</f>
        <v>254800</v>
      </c>
      <c r="E46" s="77">
        <f>'Вед-я стр-ра'!J231</f>
        <v>254800</v>
      </c>
      <c r="I46" s="351"/>
      <c r="J46" s="351"/>
      <c r="K46" s="351">
        <v>208368.83</v>
      </c>
      <c r="L46" s="351">
        <v>218527.73</v>
      </c>
      <c r="M46" s="351">
        <v>228061</v>
      </c>
    </row>
    <row r="47" spans="1:13" s="371" customFormat="1" ht="18.75" thickBot="1">
      <c r="A47" s="402"/>
      <c r="B47" s="403" t="s">
        <v>850</v>
      </c>
      <c r="C47" s="404">
        <f>'Вед-я стр-ра'!H1383</f>
        <v>0</v>
      </c>
      <c r="D47" s="404">
        <f>'Вед-я стр-ра'!I1383</f>
        <v>162555.29999999999</v>
      </c>
      <c r="E47" s="404">
        <f>'Вед-я стр-ра'!J1383</f>
        <v>313032.05</v>
      </c>
      <c r="F47" s="412"/>
      <c r="G47" s="384"/>
      <c r="I47" s="351" t="e">
        <f>ROUND(#REF!/1000,0)</f>
        <v>#REF!</v>
      </c>
      <c r="J47" s="351">
        <f>ROUND(F47,1)</f>
        <v>0</v>
      </c>
      <c r="K47" s="351">
        <v>0</v>
      </c>
      <c r="L47" s="351">
        <v>154902.94</v>
      </c>
      <c r="M47" s="351">
        <v>281155</v>
      </c>
    </row>
    <row r="48" spans="1:13" ht="18.75" thickBot="1">
      <c r="A48" s="405"/>
      <c r="B48" s="406" t="s">
        <v>66</v>
      </c>
      <c r="C48" s="404">
        <f>C2+C10+C13+C18+C23+C30+C33+C45+C37+C42+C47</f>
        <v>16659028.299999999</v>
      </c>
      <c r="D48" s="404">
        <f t="shared" ref="D48:E48" si="0">D2+D10+D13+D18+D23+D30+D33+D45+D37+D42+D47</f>
        <v>14540318.020000001</v>
      </c>
      <c r="E48" s="404">
        <f t="shared" si="0"/>
        <v>12515539.110000001</v>
      </c>
      <c r="I48" s="351"/>
      <c r="J48" s="351"/>
      <c r="K48" s="351">
        <v>15765765.58</v>
      </c>
      <c r="L48" s="351">
        <v>13898981.529999999</v>
      </c>
      <c r="M48" s="351">
        <v>14066147.76</v>
      </c>
    </row>
    <row r="49" spans="1:13">
      <c r="A49" s="538"/>
      <c r="B49" s="538"/>
      <c r="C49" s="78">
        <f>контроль!C8</f>
        <v>14540318.02</v>
      </c>
      <c r="D49" s="78">
        <f>контроль!D8</f>
        <v>12515539.110000003</v>
      </c>
      <c r="E49" s="78">
        <f>контроль!E8</f>
        <v>0</v>
      </c>
      <c r="K49" s="351">
        <v>15765765.579999998</v>
      </c>
      <c r="L49" s="351">
        <v>13898981.530000001</v>
      </c>
      <c r="M49" s="351">
        <v>14066147.76</v>
      </c>
    </row>
    <row r="50" spans="1:13">
      <c r="A50" s="539" t="s">
        <v>39</v>
      </c>
      <c r="B50" s="539"/>
      <c r="C50" s="78">
        <f>'ГРБС 2023'!M20</f>
        <v>16659028.299999997</v>
      </c>
      <c r="D50" s="78">
        <f>'ГРБС 2024'!F20</f>
        <v>13926253.769959999</v>
      </c>
      <c r="E50" s="78">
        <f>'ГРБС 2025'!F20</f>
        <v>11888436.959959999</v>
      </c>
      <c r="K50" s="351">
        <v>15765765.580000002</v>
      </c>
      <c r="L50" s="351">
        <v>13898981.529999997</v>
      </c>
      <c r="M50" s="351">
        <v>14066147.76</v>
      </c>
    </row>
    <row r="51" spans="1:13">
      <c r="A51" s="539"/>
      <c r="B51" s="539"/>
      <c r="K51" s="440"/>
      <c r="L51" s="440"/>
      <c r="M51" s="440"/>
    </row>
    <row r="52" spans="1:13">
      <c r="A52" s="539" t="s">
        <v>91</v>
      </c>
      <c r="B52" s="539"/>
      <c r="C52" s="78">
        <f>C48-C50</f>
        <v>0</v>
      </c>
      <c r="D52" s="78">
        <f>D48-D50</f>
        <v>614064.25004000217</v>
      </c>
      <c r="E52" s="78">
        <f>E48-E50</f>
        <v>627102.15004000254</v>
      </c>
      <c r="K52" s="351">
        <v>0</v>
      </c>
      <c r="L52" s="351">
        <v>0</v>
      </c>
      <c r="M52" s="351">
        <v>0</v>
      </c>
    </row>
    <row r="53" spans="1:13">
      <c r="A53" s="538"/>
      <c r="B53" s="538"/>
      <c r="K53" s="440"/>
      <c r="L53" s="440"/>
      <c r="M53" s="440"/>
    </row>
    <row r="54" spans="1:13" s="177" customFormat="1">
      <c r="E54" s="473"/>
      <c r="K54" s="440"/>
      <c r="L54" s="440"/>
      <c r="M54" s="440"/>
    </row>
    <row r="55" spans="1:13" s="177" customFormat="1">
      <c r="E55" s="473"/>
      <c r="K55" s="440"/>
      <c r="L55" s="440"/>
      <c r="M55" s="440"/>
    </row>
    <row r="56" spans="1:13">
      <c r="A56" s="539" t="s">
        <v>203</v>
      </c>
      <c r="B56" s="539"/>
      <c r="K56" s="351">
        <v>12526291.609999999</v>
      </c>
      <c r="L56" s="440"/>
      <c r="M56" s="440"/>
    </row>
    <row r="57" spans="1:13">
      <c r="A57" s="538"/>
      <c r="B57" s="538"/>
      <c r="K57" s="440">
        <v>79.45</v>
      </c>
      <c r="L57" s="440"/>
      <c r="M57" s="440"/>
    </row>
    <row r="58" spans="1:13">
      <c r="K58" s="440"/>
      <c r="L58" s="440"/>
      <c r="M58" s="440"/>
    </row>
    <row r="59" spans="1:13">
      <c r="B59" s="380" t="s">
        <v>871</v>
      </c>
      <c r="K59" s="351">
        <v>2007906.6800000002</v>
      </c>
      <c r="L59" s="440"/>
      <c r="M59" s="440"/>
    </row>
    <row r="60" spans="1:13">
      <c r="K60" s="440">
        <v>12.74</v>
      </c>
      <c r="L60" s="440"/>
      <c r="M60" s="440"/>
    </row>
    <row r="61" spans="1:13">
      <c r="B61" s="380" t="s">
        <v>872</v>
      </c>
      <c r="K61" s="351">
        <v>1231567.29</v>
      </c>
      <c r="L61" s="440"/>
      <c r="M61" s="440"/>
    </row>
    <row r="62" spans="1:13">
      <c r="K62" s="440"/>
      <c r="L62" s="440"/>
      <c r="M62" s="440"/>
    </row>
    <row r="63" spans="1:13">
      <c r="K63" s="440"/>
      <c r="L63" s="440"/>
      <c r="M63" s="440"/>
    </row>
    <row r="64" spans="1:13">
      <c r="G64" s="391"/>
      <c r="K64" s="351"/>
      <c r="L64" s="440"/>
      <c r="M64" s="440"/>
    </row>
    <row r="65" spans="6:13">
      <c r="F65" s="412" t="e">
        <f>#REF!*100/13588188.98</f>
        <v>#REF!</v>
      </c>
      <c r="K65" s="351">
        <v>12526291.609999999</v>
      </c>
      <c r="L65" s="440"/>
      <c r="M65" s="440"/>
    </row>
  </sheetData>
  <autoFilter ref="C1:D62"/>
  <mergeCells count="7">
    <mergeCell ref="A57:B57"/>
    <mergeCell ref="A49:B49"/>
    <mergeCell ref="A50:B50"/>
    <mergeCell ref="A51:B51"/>
    <mergeCell ref="A52:B52"/>
    <mergeCell ref="A53:B53"/>
    <mergeCell ref="A56:B56"/>
  </mergeCells>
  <pageMargins left="0.86614173228346458" right="0.31496062992125984" top="0.19685039370078741" bottom="0.19685039370078741" header="0.15748031496062992" footer="0.19685039370078741"/>
  <pageSetup paperSize="9" scale="75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rgb="FF0070C0"/>
  </sheetPr>
  <dimension ref="A1:D6"/>
  <sheetViews>
    <sheetView view="pageBreakPreview" zoomScale="83" zoomScaleSheetLayoutView="83" workbookViewId="0">
      <selection activeCell="B2" sqref="B2"/>
    </sheetView>
  </sheetViews>
  <sheetFormatPr defaultColWidth="8.7265625" defaultRowHeight="18"/>
  <cols>
    <col min="1" max="1" width="17" style="130" customWidth="1"/>
    <col min="2" max="3" width="16.453125" style="130" customWidth="1"/>
    <col min="4" max="4" width="15.36328125" style="130" customWidth="1"/>
    <col min="5" max="5" width="8.7265625" style="130"/>
    <col min="6" max="6" width="11.1796875" style="130" bestFit="1" customWidth="1"/>
    <col min="7" max="16384" width="8.7265625" style="130"/>
  </cols>
  <sheetData>
    <row r="1" spans="1:4" ht="40.5">
      <c r="A1" s="441" t="s">
        <v>1076</v>
      </c>
      <c r="B1" s="344">
        <v>2023</v>
      </c>
      <c r="C1" s="344">
        <v>2024</v>
      </c>
      <c r="D1" s="344">
        <v>2024</v>
      </c>
    </row>
    <row r="2" spans="1:4" ht="35.25" customHeight="1">
      <c r="A2" s="296" t="s">
        <v>788</v>
      </c>
      <c r="B2" s="297" t="e">
        <f>#REF!</f>
        <v>#REF!</v>
      </c>
      <c r="C2" s="297" t="e">
        <f>'ГРБС 2023'!#REF!</f>
        <v>#REF!</v>
      </c>
      <c r="D2" s="297" t="e">
        <f>'ГРБС 2024'!#REF!</f>
        <v>#REF!</v>
      </c>
    </row>
    <row r="3" spans="1:4" ht="35.25" customHeight="1">
      <c r="A3" s="296" t="s">
        <v>789</v>
      </c>
      <c r="B3" s="297">
        <f>контроль!B16</f>
        <v>16659028.299999997</v>
      </c>
      <c r="C3" s="297" t="e">
        <f>'ГРБС 2023'!#REF!</f>
        <v>#REF!</v>
      </c>
      <c r="D3" s="297" t="e">
        <f>'ГРБС 2024'!#REF!</f>
        <v>#REF!</v>
      </c>
    </row>
    <row r="4" spans="1:4" ht="35.25" customHeight="1">
      <c r="A4" s="420" t="s">
        <v>839</v>
      </c>
      <c r="B4" s="421"/>
      <c r="C4" s="421" t="e">
        <f>'ГРБС 2023'!#REF!</f>
        <v>#REF!</v>
      </c>
      <c r="D4" s="421" t="e">
        <f>'ГРБС 2024'!#REF!</f>
        <v>#REF!</v>
      </c>
    </row>
    <row r="5" spans="1:4" ht="35.25" customHeight="1">
      <c r="A5" s="296" t="s">
        <v>790</v>
      </c>
      <c r="B5" s="297" t="e">
        <f>#REF!</f>
        <v>#REF!</v>
      </c>
      <c r="C5" s="297">
        <f>'ГРБС 2023'!M34</f>
        <v>0</v>
      </c>
      <c r="D5" s="297">
        <f>'ГРБС 2024'!K34</f>
        <v>0</v>
      </c>
    </row>
    <row r="6" spans="1:4" s="374" customFormat="1" ht="40.5">
      <c r="A6" s="372" t="s">
        <v>858</v>
      </c>
      <c r="B6" s="373" t="e">
        <f>#REF!</f>
        <v>#REF!</v>
      </c>
      <c r="C6" s="373" t="e">
        <f>'ГРБС 2023'!#REF!</f>
        <v>#REF!</v>
      </c>
      <c r="D6" s="373" t="e">
        <f>'ГРБС 2024'!#REF!</f>
        <v>#REF!</v>
      </c>
    </row>
  </sheetData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tabColor rgb="FF00B050"/>
    <pageSetUpPr fitToPage="1"/>
  </sheetPr>
  <dimension ref="A1:M78"/>
  <sheetViews>
    <sheetView view="pageBreakPreview" zoomScale="60" workbookViewId="0">
      <selection activeCell="C8" sqref="C8"/>
    </sheetView>
  </sheetViews>
  <sheetFormatPr defaultRowHeight="23.25"/>
  <cols>
    <col min="1" max="1" width="4.36328125" style="324" customWidth="1"/>
    <col min="2" max="2" width="67.6328125" style="328" customWidth="1"/>
    <col min="3" max="3" width="18.453125" style="265" customWidth="1"/>
    <col min="4" max="4" width="17.1796875" style="265" customWidth="1"/>
    <col min="5" max="5" width="20.08984375" style="265" customWidth="1"/>
    <col min="6" max="6" width="17.7265625" style="265" customWidth="1"/>
    <col min="7" max="7" width="17.90625" style="265" customWidth="1"/>
    <col min="8" max="8" width="21.08984375" style="265" customWidth="1"/>
    <col min="9" max="9" width="21.453125" style="265" customWidth="1"/>
    <col min="10" max="10" width="17.7265625" style="264" customWidth="1"/>
    <col min="12" max="12" width="15.6328125" customWidth="1"/>
    <col min="13" max="13" width="10" bestFit="1" customWidth="1"/>
  </cols>
  <sheetData>
    <row r="1" spans="1:12">
      <c r="B1" s="327"/>
      <c r="C1" s="263"/>
      <c r="D1" s="263"/>
      <c r="E1" s="263"/>
      <c r="F1" s="263"/>
      <c r="G1" s="263"/>
      <c r="H1" s="263"/>
      <c r="I1" s="263"/>
      <c r="J1" s="264" t="s">
        <v>592</v>
      </c>
    </row>
    <row r="2" spans="1:12">
      <c r="A2" s="487"/>
      <c r="B2" s="487"/>
      <c r="C2" s="487"/>
      <c r="D2" s="487"/>
      <c r="E2" s="487"/>
      <c r="F2" s="487"/>
      <c r="G2" s="487"/>
      <c r="H2" s="487"/>
      <c r="I2" s="487"/>
      <c r="J2" s="487"/>
    </row>
    <row r="3" spans="1:12" ht="12" customHeight="1">
      <c r="B3" s="540"/>
      <c r="C3" s="540"/>
      <c r="D3" s="540"/>
      <c r="E3" s="540"/>
      <c r="F3" s="540"/>
      <c r="G3" s="540"/>
      <c r="H3" s="540"/>
      <c r="I3" s="540"/>
    </row>
    <row r="4" spans="1:12">
      <c r="I4" s="266"/>
      <c r="J4" s="266" t="s">
        <v>594</v>
      </c>
    </row>
    <row r="5" spans="1:12" ht="20.25" customHeight="1">
      <c r="A5" s="482" t="s">
        <v>617</v>
      </c>
      <c r="B5" s="483" t="s">
        <v>22</v>
      </c>
      <c r="C5" s="484" t="s">
        <v>977</v>
      </c>
      <c r="D5" s="484" t="s">
        <v>1032</v>
      </c>
      <c r="E5" s="484" t="s">
        <v>1135</v>
      </c>
      <c r="F5" s="486"/>
      <c r="G5" s="485"/>
      <c r="H5" s="541" t="s">
        <v>1032</v>
      </c>
      <c r="I5" s="541"/>
      <c r="J5" s="541"/>
    </row>
    <row r="6" spans="1:12">
      <c r="A6" s="267" t="s">
        <v>623</v>
      </c>
      <c r="B6" s="329" t="s">
        <v>600</v>
      </c>
      <c r="C6" s="414" t="s">
        <v>481</v>
      </c>
      <c r="D6" s="316" t="s">
        <v>482</v>
      </c>
      <c r="E6" s="267" t="s">
        <v>484</v>
      </c>
      <c r="F6" s="414" t="s">
        <v>484</v>
      </c>
      <c r="G6" s="315" t="s">
        <v>601</v>
      </c>
      <c r="H6" s="267" t="s">
        <v>13</v>
      </c>
      <c r="I6" s="414" t="s">
        <v>13</v>
      </c>
      <c r="J6" s="317" t="s">
        <v>112</v>
      </c>
    </row>
    <row r="7" spans="1:12" ht="52.5">
      <c r="A7" s="267" t="s">
        <v>98</v>
      </c>
      <c r="B7" s="339" t="s">
        <v>647</v>
      </c>
      <c r="C7" s="415">
        <f>'МП и неМП'!E7</f>
        <v>8566509.5999999978</v>
      </c>
      <c r="D7" s="332">
        <f>'МП и неМП'!F7</f>
        <v>8607100.3399999999</v>
      </c>
      <c r="E7" s="331">
        <f>'МП и неМП'!G7</f>
        <v>6512090.709999999</v>
      </c>
      <c r="F7" s="415">
        <f>'МП и неМП'!E7</f>
        <v>8566509.5999999978</v>
      </c>
      <c r="G7" s="333">
        <f>F7-E7</f>
        <v>2054418.8899999987</v>
      </c>
      <c r="H7" s="331">
        <v>6121830.0000000009</v>
      </c>
      <c r="I7" s="415">
        <f>'МП и неМП'!F7</f>
        <v>8607100.3399999999</v>
      </c>
      <c r="J7" s="334">
        <f>I7-H7</f>
        <v>2485270.3399999989</v>
      </c>
    </row>
    <row r="8" spans="1:12" ht="52.5">
      <c r="A8" s="267" t="s">
        <v>99</v>
      </c>
      <c r="B8" s="339" t="s">
        <v>865</v>
      </c>
      <c r="C8" s="415">
        <f>'МП и неМП'!E105</f>
        <v>5251.46</v>
      </c>
      <c r="D8" s="332">
        <f>'МП и неМП'!F105</f>
        <v>5251.46</v>
      </c>
      <c r="E8" s="331">
        <f>'МП и неМП'!G105</f>
        <v>5251.46</v>
      </c>
      <c r="F8" s="415">
        <f>'МП и неМП'!E105</f>
        <v>5251.46</v>
      </c>
      <c r="G8" s="333">
        <f t="shared" ref="G8:G46" si="0">F8-E8</f>
        <v>0</v>
      </c>
      <c r="H8" s="331">
        <v>5431.46</v>
      </c>
      <c r="I8" s="415">
        <f>'МП и неМП'!F105</f>
        <v>5251.46</v>
      </c>
      <c r="J8" s="334">
        <f t="shared" ref="J8:J46" si="1">I8-H8</f>
        <v>-180</v>
      </c>
    </row>
    <row r="9" spans="1:12" ht="52.5">
      <c r="A9" s="267" t="s">
        <v>85</v>
      </c>
      <c r="B9" s="339" t="s">
        <v>650</v>
      </c>
      <c r="C9" s="415">
        <f>'МП и неМП'!E111</f>
        <v>2813717.33</v>
      </c>
      <c r="D9" s="332">
        <f>'МП и неМП'!F111</f>
        <v>2200765.38</v>
      </c>
      <c r="E9" s="331">
        <f>'МП и неМП'!G111</f>
        <v>2147108.12</v>
      </c>
      <c r="F9" s="415">
        <f>'МП и неМП'!E111</f>
        <v>2813717.33</v>
      </c>
      <c r="G9" s="333">
        <f t="shared" si="0"/>
        <v>666609.21</v>
      </c>
      <c r="H9" s="331">
        <v>4348167.26</v>
      </c>
      <c r="I9" s="415">
        <f>'МП и неМП'!F111</f>
        <v>2200765.38</v>
      </c>
      <c r="J9" s="334">
        <f t="shared" si="1"/>
        <v>-2147401.88</v>
      </c>
    </row>
    <row r="10" spans="1:12" ht="105">
      <c r="A10" s="325" t="s">
        <v>69</v>
      </c>
      <c r="B10" s="339" t="s">
        <v>646</v>
      </c>
      <c r="C10" s="415">
        <f>'МП и неМП'!E230</f>
        <v>2006767.4400000004</v>
      </c>
      <c r="D10" s="332">
        <f>'МП и неМП'!F230</f>
        <v>940476.33000000007</v>
      </c>
      <c r="E10" s="331">
        <f>'МП и неМП'!G230</f>
        <v>941401.53</v>
      </c>
      <c r="F10" s="415">
        <f>'МП и неМП'!E230</f>
        <v>2006767.4400000004</v>
      </c>
      <c r="G10" s="333">
        <f t="shared" si="0"/>
        <v>1065365.9100000004</v>
      </c>
      <c r="H10" s="331">
        <v>957509.71000000008</v>
      </c>
      <c r="I10" s="415">
        <f>'МП и неМП'!F230</f>
        <v>940476.33000000007</v>
      </c>
      <c r="J10" s="334">
        <f>I10-H10</f>
        <v>-17033.380000000005</v>
      </c>
      <c r="L10" s="411" t="s">
        <v>988</v>
      </c>
    </row>
    <row r="11" spans="1:12" ht="52.5">
      <c r="A11" s="267" t="s">
        <v>7</v>
      </c>
      <c r="B11" s="339" t="s">
        <v>652</v>
      </c>
      <c r="C11" s="415">
        <f>'МП и неМП'!E318</f>
        <v>9488.2999999999993</v>
      </c>
      <c r="D11" s="332">
        <f>'МП и неМП'!F318</f>
        <v>9488.2999999999993</v>
      </c>
      <c r="E11" s="331">
        <f>'МП и неМП'!G318</f>
        <v>9488.2999999999993</v>
      </c>
      <c r="F11" s="415">
        <f>'МП и неМП'!E318</f>
        <v>9488.2999999999993</v>
      </c>
      <c r="G11" s="333">
        <f t="shared" si="0"/>
        <v>0</v>
      </c>
      <c r="H11" s="331">
        <v>9488.2999999999993</v>
      </c>
      <c r="I11" s="415">
        <f>'МП и неМП'!F318</f>
        <v>9488.2999999999993</v>
      </c>
      <c r="J11" s="334">
        <f t="shared" si="1"/>
        <v>0</v>
      </c>
    </row>
    <row r="12" spans="1:12" ht="52.5">
      <c r="A12" s="267" t="s">
        <v>2</v>
      </c>
      <c r="B12" s="339" t="s">
        <v>655</v>
      </c>
      <c r="C12" s="415">
        <f>'МП и неМП'!E327</f>
        <v>18375.850000000002</v>
      </c>
      <c r="D12" s="332">
        <f>'МП и неМП'!F327</f>
        <v>22626.58</v>
      </c>
      <c r="E12" s="331">
        <f>'МП и неМП'!G327</f>
        <v>22175.13</v>
      </c>
      <c r="F12" s="415">
        <f>'МП и неМП'!E327</f>
        <v>18375.850000000002</v>
      </c>
      <c r="G12" s="333">
        <f t="shared" si="0"/>
        <v>-3799.2799999999988</v>
      </c>
      <c r="H12" s="331">
        <v>37099.08</v>
      </c>
      <c r="I12" s="415">
        <f>'МП и неМП'!F327</f>
        <v>22626.58</v>
      </c>
      <c r="J12" s="334">
        <f t="shared" si="1"/>
        <v>-14472.5</v>
      </c>
    </row>
    <row r="13" spans="1:12" ht="27.75">
      <c r="A13" s="267" t="s">
        <v>104</v>
      </c>
      <c r="B13" s="339" t="s">
        <v>656</v>
      </c>
      <c r="C13" s="415">
        <f>'МП и неМП'!E333</f>
        <v>607707.79</v>
      </c>
      <c r="D13" s="332">
        <f>'МП и неМП'!F333</f>
        <v>597780.91</v>
      </c>
      <c r="E13" s="331">
        <f>'МП и неМП'!G333</f>
        <v>599056.97000000009</v>
      </c>
      <c r="F13" s="415">
        <f>'МП и неМП'!E333</f>
        <v>607707.79</v>
      </c>
      <c r="G13" s="333">
        <f t="shared" si="0"/>
        <v>8650.8199999999488</v>
      </c>
      <c r="H13" s="331">
        <v>547452.96</v>
      </c>
      <c r="I13" s="415">
        <f>'МП и неМП'!F333</f>
        <v>597780.91</v>
      </c>
      <c r="J13" s="334">
        <f t="shared" si="1"/>
        <v>50327.95000000007</v>
      </c>
    </row>
    <row r="14" spans="1:12" ht="52.5">
      <c r="A14" s="267" t="s">
        <v>82</v>
      </c>
      <c r="B14" s="339" t="s">
        <v>657</v>
      </c>
      <c r="C14" s="415">
        <f>'МП и неМП'!E382</f>
        <v>268989.83999999997</v>
      </c>
      <c r="D14" s="332">
        <f>'МП и неМП'!F382</f>
        <v>220931.34</v>
      </c>
      <c r="E14" s="331">
        <f>'МП и неМП'!G382</f>
        <v>221123.63999999998</v>
      </c>
      <c r="F14" s="415">
        <f>'МП и неМП'!E382</f>
        <v>268989.83999999997</v>
      </c>
      <c r="G14" s="333">
        <f t="shared" si="0"/>
        <v>47866.199999999983</v>
      </c>
      <c r="H14" s="331">
        <v>218608.84</v>
      </c>
      <c r="I14" s="415">
        <f>'МП и неМП'!F382</f>
        <v>220931.34</v>
      </c>
      <c r="J14" s="334">
        <f t="shared" si="1"/>
        <v>2322.5</v>
      </c>
    </row>
    <row r="15" spans="1:12" ht="27.75">
      <c r="A15" s="267" t="s">
        <v>33</v>
      </c>
      <c r="B15" s="339" t="s">
        <v>658</v>
      </c>
      <c r="C15" s="415">
        <f>'МП и неМП'!E415</f>
        <v>15928.61</v>
      </c>
      <c r="D15" s="332">
        <f>'МП и неМП'!F415</f>
        <v>15930.279999999999</v>
      </c>
      <c r="E15" s="331">
        <f>'МП и неМП'!G415</f>
        <v>15932.02</v>
      </c>
      <c r="F15" s="415">
        <f>'МП и неМП'!E415</f>
        <v>15928.61</v>
      </c>
      <c r="G15" s="333">
        <f t="shared" si="0"/>
        <v>-3.4099999999998545</v>
      </c>
      <c r="H15" s="331">
        <v>12623.919999999998</v>
      </c>
      <c r="I15" s="415">
        <f>'МП и неМП'!F415</f>
        <v>15930.279999999999</v>
      </c>
      <c r="J15" s="334">
        <f t="shared" si="1"/>
        <v>3306.3600000000006</v>
      </c>
    </row>
    <row r="16" spans="1:12" ht="52.5">
      <c r="A16" s="267" t="s">
        <v>13</v>
      </c>
      <c r="B16" s="339" t="s">
        <v>660</v>
      </c>
      <c r="C16" s="415">
        <f>'МП и неМП'!E433</f>
        <v>254800</v>
      </c>
      <c r="D16" s="332">
        <f>'МП и неМП'!F433</f>
        <v>254800</v>
      </c>
      <c r="E16" s="331">
        <f>'МП и неМП'!G433</f>
        <v>254800</v>
      </c>
      <c r="F16" s="415">
        <f>'МП и неМП'!E433</f>
        <v>254800</v>
      </c>
      <c r="G16" s="333">
        <f t="shared" si="0"/>
        <v>0</v>
      </c>
      <c r="H16" s="331">
        <v>228061</v>
      </c>
      <c r="I16" s="415">
        <f>'МП и неМП'!F433</f>
        <v>254800</v>
      </c>
      <c r="J16" s="334">
        <f t="shared" si="1"/>
        <v>26739</v>
      </c>
    </row>
    <row r="17" spans="1:13" ht="78.75">
      <c r="A17" s="267" t="s">
        <v>112</v>
      </c>
      <c r="B17" s="339" t="s">
        <v>662</v>
      </c>
      <c r="C17" s="415">
        <f>'МП и неМП'!E439</f>
        <v>23395.69</v>
      </c>
      <c r="D17" s="332">
        <f>'МП и неМП'!F439</f>
        <v>11359.23</v>
      </c>
      <c r="E17" s="331">
        <f>'МП и неМП'!G439</f>
        <v>11400.36</v>
      </c>
      <c r="F17" s="415">
        <f>'МП и неМП'!E439</f>
        <v>23395.69</v>
      </c>
      <c r="G17" s="333">
        <f t="shared" si="0"/>
        <v>11995.329999999998</v>
      </c>
      <c r="H17" s="331">
        <v>8310.2699999999986</v>
      </c>
      <c r="I17" s="415">
        <f>'МП и неМП'!F439</f>
        <v>11359.23</v>
      </c>
      <c r="J17" s="334">
        <f t="shared" si="1"/>
        <v>3048.9600000000009</v>
      </c>
    </row>
    <row r="18" spans="1:13" ht="52.5">
      <c r="A18" s="267" t="s">
        <v>72</v>
      </c>
      <c r="B18" s="339" t="s">
        <v>664</v>
      </c>
      <c r="C18" s="415">
        <f>'МП и неМП'!E458</f>
        <v>123823.17</v>
      </c>
      <c r="D18" s="332">
        <f>'МП и неМП'!F458</f>
        <v>123995.45</v>
      </c>
      <c r="E18" s="331">
        <f>'МП и неМП'!G458</f>
        <v>124174.64</v>
      </c>
      <c r="F18" s="415">
        <f>'МП и неМП'!E458</f>
        <v>123823.17</v>
      </c>
      <c r="G18" s="333">
        <f t="shared" si="0"/>
        <v>-351.47000000000116</v>
      </c>
      <c r="H18" s="331">
        <v>123572.68</v>
      </c>
      <c r="I18" s="415">
        <f>'МП и неМП'!F458</f>
        <v>123995.45</v>
      </c>
      <c r="J18" s="334">
        <f t="shared" si="1"/>
        <v>422.77000000000407</v>
      </c>
    </row>
    <row r="19" spans="1:13" ht="131.25">
      <c r="A19" s="267" t="s">
        <v>124</v>
      </c>
      <c r="B19" s="339" t="s">
        <v>1167</v>
      </c>
      <c r="C19" s="415">
        <f>'МП и неМП'!E507</f>
        <v>260</v>
      </c>
      <c r="D19" s="332">
        <f>'МП и неМП'!F507</f>
        <v>260</v>
      </c>
      <c r="E19" s="331">
        <f>'МП и неМП'!G507</f>
        <v>260</v>
      </c>
      <c r="F19" s="415">
        <f>'МП и неМП'!E507</f>
        <v>260</v>
      </c>
      <c r="G19" s="333">
        <f t="shared" si="0"/>
        <v>0</v>
      </c>
      <c r="H19" s="331">
        <v>260</v>
      </c>
      <c r="I19" s="415">
        <f>'МП и неМП'!F507</f>
        <v>260</v>
      </c>
      <c r="J19" s="334">
        <f t="shared" si="1"/>
        <v>0</v>
      </c>
    </row>
    <row r="20" spans="1:13" ht="52.5">
      <c r="A20" s="267" t="s">
        <v>618</v>
      </c>
      <c r="B20" s="339" t="s">
        <v>1168</v>
      </c>
      <c r="C20" s="415">
        <f>'МП и неМП'!E516</f>
        <v>55928.99</v>
      </c>
      <c r="D20" s="332">
        <f>'МП и неМП'!F516</f>
        <v>42147.31</v>
      </c>
      <c r="E20" s="331">
        <f>'МП и неМП'!G516</f>
        <v>42147.31</v>
      </c>
      <c r="F20" s="415">
        <f>'МП и неМП'!E516</f>
        <v>55928.99</v>
      </c>
      <c r="G20" s="333">
        <f t="shared" si="0"/>
        <v>13781.68</v>
      </c>
      <c r="H20" s="331">
        <v>41748.51</v>
      </c>
      <c r="I20" s="415">
        <f>'МП и неМП'!F516</f>
        <v>42147.31</v>
      </c>
      <c r="J20" s="334">
        <f t="shared" si="1"/>
        <v>398.79999999999563</v>
      </c>
    </row>
    <row r="21" spans="1:13" ht="78.75">
      <c r="A21" s="267" t="s">
        <v>619</v>
      </c>
      <c r="B21" s="339" t="s">
        <v>667</v>
      </c>
      <c r="C21" s="415">
        <f>'МП и неМП'!E531</f>
        <v>168464.35</v>
      </c>
      <c r="D21" s="332">
        <f>'МП и неМП'!F531</f>
        <v>149865.06000000003</v>
      </c>
      <c r="E21" s="331">
        <f>'МП и неМП'!G531</f>
        <v>149865.06000000003</v>
      </c>
      <c r="F21" s="415">
        <f>'МП и неМП'!E531</f>
        <v>168464.35</v>
      </c>
      <c r="G21" s="333">
        <f t="shared" si="0"/>
        <v>18599.289999999979</v>
      </c>
      <c r="H21" s="331">
        <v>141592.61000000002</v>
      </c>
      <c r="I21" s="415">
        <f>'МП и неМП'!F531</f>
        <v>149865.06000000003</v>
      </c>
      <c r="J21" s="334">
        <f t="shared" si="1"/>
        <v>8272.4500000000116</v>
      </c>
    </row>
    <row r="22" spans="1:13" ht="131.25">
      <c r="A22" s="267" t="s">
        <v>620</v>
      </c>
      <c r="B22" s="339" t="s">
        <v>670</v>
      </c>
      <c r="C22" s="415">
        <f>'МП и неМП'!E575</f>
        <v>154107.14000000001</v>
      </c>
      <c r="D22" s="332">
        <f>'МП и неМП'!F575</f>
        <v>116606.49</v>
      </c>
      <c r="E22" s="331">
        <f>'МП и неМП'!G575</f>
        <v>116675.14</v>
      </c>
      <c r="F22" s="415">
        <f>'МП и неМП'!E575</f>
        <v>154107.14000000001</v>
      </c>
      <c r="G22" s="333">
        <f t="shared" si="0"/>
        <v>37432.000000000015</v>
      </c>
      <c r="H22" s="331">
        <v>114720.76999999999</v>
      </c>
      <c r="I22" s="415">
        <f>'МП и неМП'!F575</f>
        <v>116606.49</v>
      </c>
      <c r="J22" s="334">
        <f t="shared" si="1"/>
        <v>1885.7200000000157</v>
      </c>
    </row>
    <row r="23" spans="1:13" ht="52.5">
      <c r="A23" s="267" t="s">
        <v>621</v>
      </c>
      <c r="B23" s="339" t="s">
        <v>671</v>
      </c>
      <c r="C23" s="415">
        <f>'МП и неМП'!E613</f>
        <v>9359.34</v>
      </c>
      <c r="D23" s="332">
        <f>'МП и неМП'!F613</f>
        <v>9359.34</v>
      </c>
      <c r="E23" s="331">
        <f>'МП и неМП'!G613</f>
        <v>9359.34</v>
      </c>
      <c r="F23" s="415">
        <f>'МП и неМП'!E613</f>
        <v>9359.34</v>
      </c>
      <c r="G23" s="333">
        <f t="shared" si="0"/>
        <v>0</v>
      </c>
      <c r="H23" s="331">
        <v>9359.34</v>
      </c>
      <c r="I23" s="415">
        <f>'МП и неМП'!F613</f>
        <v>9359.34</v>
      </c>
      <c r="J23" s="334">
        <f t="shared" si="1"/>
        <v>0</v>
      </c>
    </row>
    <row r="24" spans="1:13" ht="52.5">
      <c r="A24" s="267" t="s">
        <v>622</v>
      </c>
      <c r="B24" s="339" t="s">
        <v>673</v>
      </c>
      <c r="C24" s="415">
        <f>'МП и неМП'!E622</f>
        <v>2944</v>
      </c>
      <c r="D24" s="332">
        <f>'МП и неМП'!F622</f>
        <v>2944</v>
      </c>
      <c r="E24" s="331">
        <f>'МП и неМП'!G622</f>
        <v>2944</v>
      </c>
      <c r="F24" s="415">
        <f>'МП и неМП'!E622</f>
        <v>2944</v>
      </c>
      <c r="G24" s="333">
        <f t="shared" si="0"/>
        <v>0</v>
      </c>
      <c r="H24" s="331">
        <v>2944</v>
      </c>
      <c r="I24" s="415">
        <f>'МП и неМП'!F622</f>
        <v>2944</v>
      </c>
      <c r="J24" s="334">
        <f t="shared" si="1"/>
        <v>0</v>
      </c>
    </row>
    <row r="25" spans="1:13" ht="52.5">
      <c r="A25" s="267" t="s">
        <v>798</v>
      </c>
      <c r="B25" s="339" t="s">
        <v>794</v>
      </c>
      <c r="C25" s="415">
        <f>'МП и неМП'!E631</f>
        <v>196756.9</v>
      </c>
      <c r="D25" s="332">
        <f>'МП и неМП'!F631</f>
        <v>4589.93</v>
      </c>
      <c r="E25" s="331">
        <f>'МП и неМП'!G631</f>
        <v>0</v>
      </c>
      <c r="F25" s="415">
        <f>'МП и неМП'!E631</f>
        <v>196756.9</v>
      </c>
      <c r="G25" s="333">
        <f t="shared" si="0"/>
        <v>196756.9</v>
      </c>
      <c r="H25" s="331">
        <v>4589.93</v>
      </c>
      <c r="I25" s="415">
        <f>'МП и неМП'!F631</f>
        <v>4589.93</v>
      </c>
      <c r="J25" s="334">
        <f t="shared" si="1"/>
        <v>0</v>
      </c>
    </row>
    <row r="26" spans="1:13" s="133" customFormat="1" ht="27">
      <c r="A26" s="326"/>
      <c r="B26" s="340" t="s">
        <v>624</v>
      </c>
      <c r="C26" s="416">
        <f>SUM(C7:C25)</f>
        <v>15302575.799999999</v>
      </c>
      <c r="D26" s="336">
        <f t="shared" ref="D26:E26" si="2">SUM(D7:D25)</f>
        <v>13336277.73</v>
      </c>
      <c r="E26" s="335">
        <f t="shared" si="2"/>
        <v>11185253.730000002</v>
      </c>
      <c r="F26" s="416">
        <f>SUM(F7:F25)</f>
        <v>15302575.799999999</v>
      </c>
      <c r="G26" s="337">
        <f t="shared" ref="G26:J26" si="3">SUM(G7:G25)</f>
        <v>4117322.0699999989</v>
      </c>
      <c r="H26" s="335">
        <v>12933370.640000001</v>
      </c>
      <c r="I26" s="416">
        <f>SUM(I7:I25)</f>
        <v>13336277.73</v>
      </c>
      <c r="J26" s="338">
        <f t="shared" si="3"/>
        <v>402907.08999999915</v>
      </c>
      <c r="L26" s="336">
        <f>C26*100/C46</f>
        <v>91.857553300392681</v>
      </c>
      <c r="M26" s="397">
        <f>L26+D46</f>
        <v>14540409.877553301</v>
      </c>
    </row>
    <row r="27" spans="1:13" ht="27.75">
      <c r="A27" s="267">
        <v>70</v>
      </c>
      <c r="B27" s="339" t="s">
        <v>159</v>
      </c>
      <c r="C27" s="415">
        <f>'МП и неМП'!E644</f>
        <v>57935.22</v>
      </c>
      <c r="D27" s="332">
        <f>'МП и неМП'!F644</f>
        <v>56631.340000000004</v>
      </c>
      <c r="E27" s="331">
        <f>'МП и неМП'!G644</f>
        <v>56631.340000000004</v>
      </c>
      <c r="F27" s="415">
        <f>'МП и неМП'!E644</f>
        <v>57935.22</v>
      </c>
      <c r="G27" s="333">
        <f t="shared" si="0"/>
        <v>1303.8799999999974</v>
      </c>
      <c r="H27" s="331">
        <v>57808.100000000006</v>
      </c>
      <c r="I27" s="415">
        <f>'МП и неМП'!F644</f>
        <v>56631.340000000004</v>
      </c>
      <c r="J27" s="334">
        <f t="shared" si="1"/>
        <v>-1176.760000000002</v>
      </c>
    </row>
    <row r="28" spans="1:13" ht="52.5">
      <c r="A28" s="267">
        <v>71</v>
      </c>
      <c r="B28" s="339" t="s">
        <v>149</v>
      </c>
      <c r="C28" s="415">
        <f>'МП и неМП'!E665</f>
        <v>181539.29</v>
      </c>
      <c r="D28" s="332">
        <f>'МП и неМП'!F665</f>
        <v>181827.32</v>
      </c>
      <c r="E28" s="331">
        <f>'МП и неМП'!G665</f>
        <v>182126.87000000002</v>
      </c>
      <c r="F28" s="415">
        <f>'МП и неМП'!E665</f>
        <v>181539.29</v>
      </c>
      <c r="G28" s="333">
        <f t="shared" si="0"/>
        <v>-587.5800000000163</v>
      </c>
      <c r="H28" s="331">
        <v>180566.16</v>
      </c>
      <c r="I28" s="415">
        <f>'МП и неМП'!F665</f>
        <v>181827.32</v>
      </c>
      <c r="J28" s="334">
        <f t="shared" si="1"/>
        <v>1261.1600000000035</v>
      </c>
    </row>
    <row r="29" spans="1:13" ht="52.5">
      <c r="A29" s="267">
        <v>72</v>
      </c>
      <c r="B29" s="339" t="s">
        <v>511</v>
      </c>
      <c r="C29" s="415">
        <f>'МП и неМП'!E688</f>
        <v>98179.49</v>
      </c>
      <c r="D29" s="332">
        <f>'МП и неМП'!F688</f>
        <v>98232.510000000009</v>
      </c>
      <c r="E29" s="331">
        <f>'МП и неМП'!G688</f>
        <v>98287.66</v>
      </c>
      <c r="F29" s="415">
        <f>'МП и неМП'!E688</f>
        <v>98179.49</v>
      </c>
      <c r="G29" s="333">
        <f t="shared" si="0"/>
        <v>-108.16999999999825</v>
      </c>
      <c r="H29" s="331">
        <v>97765.31</v>
      </c>
      <c r="I29" s="415">
        <f>'МП и неМП'!F688</f>
        <v>98232.510000000009</v>
      </c>
      <c r="J29" s="334">
        <f t="shared" si="1"/>
        <v>467.20000000001164</v>
      </c>
    </row>
    <row r="30" spans="1:13" ht="52.5">
      <c r="A30" s="267">
        <v>73</v>
      </c>
      <c r="B30" s="339" t="s">
        <v>163</v>
      </c>
      <c r="C30" s="415">
        <f>'МП и неМП'!E697</f>
        <v>60877.219999999994</v>
      </c>
      <c r="D30" s="332">
        <f>'МП и неМП'!F697</f>
        <v>60877.21</v>
      </c>
      <c r="E30" s="331">
        <f>'МП и неМП'!G697</f>
        <v>60877.21</v>
      </c>
      <c r="F30" s="415">
        <f>'МП и неМП'!E697</f>
        <v>60877.219999999994</v>
      </c>
      <c r="G30" s="333">
        <f t="shared" si="0"/>
        <v>9.9999999947613105E-3</v>
      </c>
      <c r="H30" s="331">
        <v>61018.96</v>
      </c>
      <c r="I30" s="415">
        <f>'МП и неМП'!F697</f>
        <v>60877.21</v>
      </c>
      <c r="J30" s="334">
        <f t="shared" si="1"/>
        <v>-141.75</v>
      </c>
    </row>
    <row r="31" spans="1:13" ht="52.5">
      <c r="A31" s="267">
        <v>74</v>
      </c>
      <c r="B31" s="339" t="s">
        <v>1014</v>
      </c>
      <c r="C31" s="415">
        <f>'МП и неМП'!E706</f>
        <v>52711.990000000005</v>
      </c>
      <c r="D31" s="332">
        <f>'МП и неМП'!F706</f>
        <v>52743.48</v>
      </c>
      <c r="E31" s="331">
        <f>'МП и неМП'!G706</f>
        <v>52776.540000000008</v>
      </c>
      <c r="F31" s="415">
        <f>'МП и неМП'!E706</f>
        <v>52711.990000000005</v>
      </c>
      <c r="G31" s="333">
        <f t="shared" si="0"/>
        <v>-64.55000000000291</v>
      </c>
      <c r="H31" s="331">
        <v>52496.84</v>
      </c>
      <c r="I31" s="415">
        <f>'МП и неМП'!F706</f>
        <v>52743.48</v>
      </c>
      <c r="J31" s="334">
        <f t="shared" si="1"/>
        <v>246.64000000000669</v>
      </c>
    </row>
    <row r="32" spans="1:13" ht="52.5">
      <c r="A32" s="267">
        <v>75</v>
      </c>
      <c r="B32" s="339" t="s">
        <v>209</v>
      </c>
      <c r="C32" s="415">
        <f>'МП и неМП'!E715</f>
        <v>51985.120000000003</v>
      </c>
      <c r="D32" s="332">
        <f>'МП и неМП'!F715</f>
        <v>52035</v>
      </c>
      <c r="E32" s="331">
        <f>'МП и неМП'!G715</f>
        <v>52058.22</v>
      </c>
      <c r="F32" s="415">
        <f>'МП и неМП'!E715</f>
        <v>51985.120000000003</v>
      </c>
      <c r="G32" s="333">
        <f t="shared" si="0"/>
        <v>-73.099999999998545</v>
      </c>
      <c r="H32" s="331">
        <v>44584.74</v>
      </c>
      <c r="I32" s="415">
        <f>'МП и неМП'!F715</f>
        <v>52035</v>
      </c>
      <c r="J32" s="334">
        <f t="shared" si="1"/>
        <v>7450.260000000002</v>
      </c>
    </row>
    <row r="33" spans="1:10" ht="52.5">
      <c r="A33" s="267">
        <v>76</v>
      </c>
      <c r="B33" s="339" t="s">
        <v>612</v>
      </c>
      <c r="C33" s="415">
        <f>'МП и неМП'!E730</f>
        <v>20334.009999999998</v>
      </c>
      <c r="D33" s="332">
        <f>'МП и неМП'!F730</f>
        <v>20345.699999999997</v>
      </c>
      <c r="E33" s="331">
        <f>'МП и неМП'!G730</f>
        <v>20357.859999999997</v>
      </c>
      <c r="F33" s="415">
        <f>'МП и неМП'!E730</f>
        <v>20334.009999999998</v>
      </c>
      <c r="G33" s="333">
        <f t="shared" si="0"/>
        <v>-23.849999999998545</v>
      </c>
      <c r="H33" s="331">
        <v>19546.079999999998</v>
      </c>
      <c r="I33" s="415">
        <f>'МП и неМП'!F730</f>
        <v>20345.699999999997</v>
      </c>
      <c r="J33" s="334">
        <f t="shared" si="1"/>
        <v>799.61999999999898</v>
      </c>
    </row>
    <row r="34" spans="1:10" ht="52.5">
      <c r="A34" s="267">
        <v>77</v>
      </c>
      <c r="B34" s="339" t="s">
        <v>212</v>
      </c>
      <c r="C34" s="415">
        <f>'МП и неМП'!E742</f>
        <v>97461.79</v>
      </c>
      <c r="D34" s="332">
        <f>'МП и неМП'!F742</f>
        <v>93256.56</v>
      </c>
      <c r="E34" s="331">
        <f>'МП и неМП'!G742</f>
        <v>93273.06</v>
      </c>
      <c r="F34" s="415">
        <f>'МП и неМП'!E742</f>
        <v>97461.79</v>
      </c>
      <c r="G34" s="333">
        <f t="shared" si="0"/>
        <v>4188.7299999999959</v>
      </c>
      <c r="H34" s="331">
        <v>85605.85</v>
      </c>
      <c r="I34" s="415">
        <f>'МП и неМП'!F742</f>
        <v>93256.56</v>
      </c>
      <c r="J34" s="334">
        <f t="shared" si="1"/>
        <v>7650.7099999999919</v>
      </c>
    </row>
    <row r="35" spans="1:10" ht="52.5">
      <c r="A35" s="267">
        <v>78</v>
      </c>
      <c r="B35" s="339" t="s">
        <v>615</v>
      </c>
      <c r="C35" s="415">
        <f>'МП и неМП'!E758</f>
        <v>22656.49</v>
      </c>
      <c r="D35" s="332">
        <f>'МП и неМП'!F758</f>
        <v>22656.49</v>
      </c>
      <c r="E35" s="331">
        <f>'МП и неМП'!G758</f>
        <v>22656.49</v>
      </c>
      <c r="F35" s="415">
        <f>'МП и неМП'!E758</f>
        <v>22656.49</v>
      </c>
      <c r="G35" s="333">
        <f t="shared" si="0"/>
        <v>0</v>
      </c>
      <c r="H35" s="331">
        <v>22650.400000000001</v>
      </c>
      <c r="I35" s="415">
        <f>'МП и неМП'!F758</f>
        <v>22656.49</v>
      </c>
      <c r="J35" s="334">
        <f t="shared" si="1"/>
        <v>6.0900000000001455</v>
      </c>
    </row>
    <row r="36" spans="1:10" ht="52.5">
      <c r="A36" s="267">
        <v>80</v>
      </c>
      <c r="B36" s="339" t="s">
        <v>176</v>
      </c>
      <c r="C36" s="415">
        <f>'МП и неМП'!E770</f>
        <v>47293.36</v>
      </c>
      <c r="D36" s="332">
        <f>'МП и неМП'!F770</f>
        <v>47316.909999999996</v>
      </c>
      <c r="E36" s="331">
        <f>'МП и неМП'!G770</f>
        <v>47341.909999999996</v>
      </c>
      <c r="F36" s="415">
        <f>'МП и неМП'!E770</f>
        <v>47293.36</v>
      </c>
      <c r="G36" s="333">
        <f t="shared" si="0"/>
        <v>-48.549999999995634</v>
      </c>
      <c r="H36" s="331">
        <v>45880.810000000005</v>
      </c>
      <c r="I36" s="415">
        <f>'МП и неМП'!F770</f>
        <v>47316.909999999996</v>
      </c>
      <c r="J36" s="334">
        <f t="shared" si="1"/>
        <v>1436.0999999999913</v>
      </c>
    </row>
    <row r="37" spans="1:10" ht="52.5">
      <c r="A37" s="267">
        <v>81</v>
      </c>
      <c r="B37" s="339" t="s">
        <v>179</v>
      </c>
      <c r="C37" s="415">
        <f>'МП и неМП'!E784</f>
        <v>45152.37</v>
      </c>
      <c r="D37" s="332">
        <f>'МП и неМП'!F784</f>
        <v>45087.9</v>
      </c>
      <c r="E37" s="331">
        <f>'МП и неМП'!G784</f>
        <v>45138.81</v>
      </c>
      <c r="F37" s="415">
        <f>'МП и неМП'!E784</f>
        <v>45152.37</v>
      </c>
      <c r="G37" s="333">
        <f t="shared" si="0"/>
        <v>13.560000000004948</v>
      </c>
      <c r="H37" s="331">
        <v>42972.03</v>
      </c>
      <c r="I37" s="415">
        <f>'МП и неМП'!F784</f>
        <v>45087.9</v>
      </c>
      <c r="J37" s="334">
        <f t="shared" si="1"/>
        <v>2115.8700000000026</v>
      </c>
    </row>
    <row r="38" spans="1:10" ht="52.5">
      <c r="A38" s="267">
        <v>82</v>
      </c>
      <c r="B38" s="339" t="s">
        <v>181</v>
      </c>
      <c r="C38" s="415">
        <f>'МП и неМП'!E798</f>
        <v>63604.279999999992</v>
      </c>
      <c r="D38" s="332">
        <f>'МП и неМП'!F798</f>
        <v>63655.959999999992</v>
      </c>
      <c r="E38" s="331">
        <f>'МП и неМП'!G798</f>
        <v>63709.709999999992</v>
      </c>
      <c r="F38" s="415">
        <f>'МП и неМП'!E798</f>
        <v>63604.279999999992</v>
      </c>
      <c r="G38" s="333">
        <f t="shared" si="0"/>
        <v>-105.43000000000029</v>
      </c>
      <c r="H38" s="331">
        <v>61447.159999999996</v>
      </c>
      <c r="I38" s="415">
        <f>'МП и неМП'!F798</f>
        <v>63655.959999999992</v>
      </c>
      <c r="J38" s="334">
        <f t="shared" si="1"/>
        <v>2208.7999999999956</v>
      </c>
    </row>
    <row r="39" spans="1:10" ht="52.5">
      <c r="A39" s="267">
        <v>83</v>
      </c>
      <c r="B39" s="339" t="s">
        <v>173</v>
      </c>
      <c r="C39" s="415">
        <f>'МП и неМП'!E812</f>
        <v>65732.61</v>
      </c>
      <c r="D39" s="332">
        <f>'МП и неМП'!F812</f>
        <v>65775.760000000009</v>
      </c>
      <c r="E39" s="331">
        <f>'МП и неМП'!G812</f>
        <v>65820.639999999999</v>
      </c>
      <c r="F39" s="415">
        <f>'МП и неМП'!E812</f>
        <v>65732.61</v>
      </c>
      <c r="G39" s="333">
        <f t="shared" si="0"/>
        <v>-88.029999999998836</v>
      </c>
      <c r="H39" s="331">
        <v>65736.05</v>
      </c>
      <c r="I39" s="415">
        <f>'МП и неМП'!F812</f>
        <v>65775.760000000009</v>
      </c>
      <c r="J39" s="334">
        <f t="shared" si="1"/>
        <v>39.710000000006403</v>
      </c>
    </row>
    <row r="40" spans="1:10" ht="52.5">
      <c r="A40" s="267">
        <v>84</v>
      </c>
      <c r="B40" s="339" t="s">
        <v>513</v>
      </c>
      <c r="C40" s="415">
        <f>'МП и неМП'!E823</f>
        <v>94827.64</v>
      </c>
      <c r="D40" s="332">
        <f>'МП и неМП'!F823</f>
        <v>91079.9</v>
      </c>
      <c r="E40" s="331">
        <f>'МП и неМП'!G823</f>
        <v>91113.450000000012</v>
      </c>
      <c r="F40" s="415">
        <f>'МП и неМП'!E823</f>
        <v>94827.64</v>
      </c>
      <c r="G40" s="333">
        <f t="shared" si="0"/>
        <v>3714.1899999999878</v>
      </c>
      <c r="H40" s="331">
        <v>91013.42</v>
      </c>
      <c r="I40" s="415">
        <f>'МП и неМП'!F823</f>
        <v>91079.9</v>
      </c>
      <c r="J40" s="334">
        <f t="shared" si="1"/>
        <v>66.479999999995925</v>
      </c>
    </row>
    <row r="41" spans="1:10" ht="78.75">
      <c r="A41" s="267">
        <v>85</v>
      </c>
      <c r="B41" s="339" t="s">
        <v>211</v>
      </c>
      <c r="C41" s="415">
        <f>'МП и неМП'!E848</f>
        <v>20735.2</v>
      </c>
      <c r="D41" s="332">
        <f>'МП и неМП'!F848</f>
        <v>20735.2</v>
      </c>
      <c r="E41" s="331">
        <f>'МП и неМП'!G848</f>
        <v>20735.2</v>
      </c>
      <c r="F41" s="415">
        <f>'МП и неМП'!E848</f>
        <v>20735.2</v>
      </c>
      <c r="G41" s="333">
        <f t="shared" si="0"/>
        <v>0</v>
      </c>
      <c r="H41" s="331">
        <v>20884.37</v>
      </c>
      <c r="I41" s="415">
        <f>'МП и неМП'!F848</f>
        <v>20735.2</v>
      </c>
      <c r="J41" s="334">
        <f t="shared" si="1"/>
        <v>-149.16999999999825</v>
      </c>
    </row>
    <row r="42" spans="1:10" ht="52.5">
      <c r="A42" s="267" t="s">
        <v>641</v>
      </c>
      <c r="B42" s="339" t="s">
        <v>639</v>
      </c>
      <c r="C42" s="415">
        <f>'МП и неМП'!E856</f>
        <v>20053.249999999996</v>
      </c>
      <c r="D42" s="332">
        <f>'МП и неМП'!F856</f>
        <v>19586.289999999997</v>
      </c>
      <c r="E42" s="331">
        <f>'МП и неМП'!G856</f>
        <v>19604.62</v>
      </c>
      <c r="F42" s="415">
        <f>'МП и неМП'!E856</f>
        <v>20053.249999999996</v>
      </c>
      <c r="G42" s="333">
        <f t="shared" si="0"/>
        <v>448.62999999999738</v>
      </c>
      <c r="H42" s="331">
        <v>19518.03</v>
      </c>
      <c r="I42" s="415">
        <f>'МП и неМП'!F856</f>
        <v>19586.289999999997</v>
      </c>
      <c r="J42" s="334">
        <f t="shared" si="1"/>
        <v>68.259999999998399</v>
      </c>
    </row>
    <row r="43" spans="1:10" ht="78.75">
      <c r="A43" s="267">
        <v>98</v>
      </c>
      <c r="B43" s="339" t="s">
        <v>607</v>
      </c>
      <c r="C43" s="415">
        <f>'МП и неМП'!E870</f>
        <v>355373.17</v>
      </c>
      <c r="D43" s="332">
        <f>'МП и неМП'!F870</f>
        <v>49641.46</v>
      </c>
      <c r="E43" s="331">
        <f>'МП и неМП'!G870</f>
        <v>24743.740000000009</v>
      </c>
      <c r="F43" s="415">
        <f>'МП и неМП'!E870</f>
        <v>355373.17</v>
      </c>
      <c r="G43" s="333">
        <f t="shared" si="0"/>
        <v>330629.43</v>
      </c>
      <c r="H43" s="331">
        <v>51884.250000000007</v>
      </c>
      <c r="I43" s="415">
        <f>'МП и неМП'!F870</f>
        <v>49641.46</v>
      </c>
      <c r="J43" s="334">
        <f t="shared" si="1"/>
        <v>-2242.7900000000081</v>
      </c>
    </row>
    <row r="44" spans="1:10" s="133" customFormat="1" ht="27">
      <c r="A44" s="326"/>
      <c r="B44" s="330" t="s">
        <v>767</v>
      </c>
      <c r="C44" s="416">
        <f>SUM(C27:C43)</f>
        <v>1356452.5</v>
      </c>
      <c r="D44" s="336">
        <f t="shared" ref="D44:E44" si="4">SUM(D27:D43)</f>
        <v>1041484.9900000001</v>
      </c>
      <c r="E44" s="335">
        <f t="shared" si="4"/>
        <v>1017253.33</v>
      </c>
      <c r="F44" s="416">
        <f>SUM(F27:F43)</f>
        <v>1356452.5</v>
      </c>
      <c r="G44" s="337">
        <f t="shared" si="0"/>
        <v>339199.17000000004</v>
      </c>
      <c r="H44" s="335">
        <v>1021378.5600000003</v>
      </c>
      <c r="I44" s="416">
        <f>SUM(I27:I43)</f>
        <v>1041484.9900000001</v>
      </c>
      <c r="J44" s="338">
        <f t="shared" si="1"/>
        <v>20106.429999999818</v>
      </c>
    </row>
    <row r="45" spans="1:10" ht="27.75">
      <c r="A45" s="267"/>
      <c r="B45" s="339" t="s">
        <v>850</v>
      </c>
      <c r="C45" s="415"/>
      <c r="D45" s="332">
        <f>'Вед-я стр-ра'!I1383</f>
        <v>162555.29999999999</v>
      </c>
      <c r="E45" s="331">
        <f>'Вед-я стр-ра'!J1383</f>
        <v>313032.05</v>
      </c>
      <c r="F45" s="415">
        <f>'Вед-я стр-ра'!H1383</f>
        <v>0</v>
      </c>
      <c r="G45" s="337">
        <f t="shared" si="0"/>
        <v>-313032.05</v>
      </c>
      <c r="H45" s="331">
        <v>313479.35000000003</v>
      </c>
      <c r="I45" s="415">
        <f>'Вед-я стр-ра'!I1383</f>
        <v>162555.29999999999</v>
      </c>
      <c r="J45" s="338">
        <f t="shared" si="1"/>
        <v>-150924.05000000005</v>
      </c>
    </row>
    <row r="46" spans="1:10" ht="27">
      <c r="B46" s="330" t="s">
        <v>766</v>
      </c>
      <c r="C46" s="416">
        <f>C26+C44</f>
        <v>16659028.299999999</v>
      </c>
      <c r="D46" s="336">
        <f>D26+D44+D45</f>
        <v>14540318.020000001</v>
      </c>
      <c r="E46" s="335">
        <f>E26+E44+E45</f>
        <v>12515539.110000003</v>
      </c>
      <c r="F46" s="416">
        <f>F45+F26+F44</f>
        <v>16659028.299999999</v>
      </c>
      <c r="G46" s="337">
        <f t="shared" si="0"/>
        <v>4143489.1899999958</v>
      </c>
      <c r="H46" s="335">
        <v>14268228.550000001</v>
      </c>
      <c r="I46" s="416">
        <f>I26+I44+I45</f>
        <v>14540318.020000001</v>
      </c>
      <c r="J46" s="338">
        <f t="shared" si="1"/>
        <v>272089.47000000067</v>
      </c>
    </row>
    <row r="47" spans="1:10">
      <c r="C47" s="268" t="e">
        <f>'Вед-я стр-ра'!#REF!</f>
        <v>#REF!</v>
      </c>
      <c r="D47" s="268" t="e">
        <f>C47-#REF!</f>
        <v>#REF!</v>
      </c>
      <c r="E47" s="268" t="e">
        <f>'Вед-я стр-ра'!#REF!</f>
        <v>#REF!</v>
      </c>
      <c r="F47" s="268">
        <f>'Вед-я стр-ра'!H1385</f>
        <v>16659028.299999997</v>
      </c>
      <c r="G47" s="268" t="e">
        <f>F47-E47</f>
        <v>#REF!</v>
      </c>
      <c r="H47" s="268" t="e">
        <f>'Вед-я стр-ра'!#REF!</f>
        <v>#REF!</v>
      </c>
      <c r="I47" s="268">
        <f>'Вед-я стр-ра'!I1385</f>
        <v>14540318.02</v>
      </c>
      <c r="J47" s="268" t="e">
        <f>I47-H47</f>
        <v>#REF!</v>
      </c>
    </row>
    <row r="48" spans="1:10">
      <c r="C48" s="268" t="e">
        <f>C46-C47</f>
        <v>#REF!</v>
      </c>
      <c r="D48" s="268" t="e">
        <f>D46-D47</f>
        <v>#REF!</v>
      </c>
      <c r="E48" s="268">
        <v>0</v>
      </c>
      <c r="F48" s="268">
        <f>F46-F47</f>
        <v>0</v>
      </c>
      <c r="G48" s="268" t="e">
        <f>G46-G47</f>
        <v>#REF!</v>
      </c>
      <c r="H48" s="268">
        <v>0</v>
      </c>
      <c r="I48" s="268">
        <f>I46-I47</f>
        <v>0</v>
      </c>
      <c r="J48" s="268" t="e">
        <f>J46-J47</f>
        <v>#REF!</v>
      </c>
    </row>
    <row r="49" spans="2:10">
      <c r="C49" s="268"/>
      <c r="D49" s="268"/>
      <c r="E49" s="268"/>
      <c r="F49" s="268"/>
      <c r="G49" s="268"/>
      <c r="H49" s="268"/>
      <c r="I49" s="268"/>
      <c r="J49" s="268"/>
    </row>
    <row r="50" spans="2:10">
      <c r="C50" s="268"/>
      <c r="D50" s="268"/>
      <c r="E50" s="268"/>
      <c r="F50" s="268">
        <f>F44+F45</f>
        <v>1356452.5</v>
      </c>
      <c r="G50" s="268"/>
      <c r="H50" s="268"/>
      <c r="I50" s="268"/>
      <c r="J50" s="268"/>
    </row>
    <row r="51" spans="2:10">
      <c r="C51" s="268"/>
      <c r="D51" s="268"/>
      <c r="E51" s="268"/>
      <c r="F51" s="268"/>
      <c r="G51" s="268"/>
      <c r="H51" s="268"/>
      <c r="I51" s="268"/>
      <c r="J51" s="268"/>
    </row>
    <row r="52" spans="2:10" ht="27.75">
      <c r="B52" s="341" t="s">
        <v>828</v>
      </c>
      <c r="C52" s="331">
        <f>SUM(C53:C55)</f>
        <v>12515539.110000003</v>
      </c>
      <c r="D52" s="331">
        <f>SUM(D53:D55)</f>
        <v>14268228.550000001</v>
      </c>
    </row>
    <row r="53" spans="2:10" ht="27.75">
      <c r="B53" s="341" t="s">
        <v>826</v>
      </c>
      <c r="C53" s="331">
        <f>E26</f>
        <v>11185253.730000002</v>
      </c>
      <c r="D53" s="331">
        <f>H26</f>
        <v>12933370.640000001</v>
      </c>
    </row>
    <row r="54" spans="2:10" ht="27.75">
      <c r="B54" s="341" t="s">
        <v>827</v>
      </c>
      <c r="C54" s="331">
        <f>E44</f>
        <v>1017253.33</v>
      </c>
      <c r="D54" s="331">
        <f>H44</f>
        <v>1021378.5600000003</v>
      </c>
    </row>
    <row r="55" spans="2:10" ht="27.75">
      <c r="B55" s="341" t="s">
        <v>864</v>
      </c>
      <c r="C55" s="331">
        <f>E45</f>
        <v>313032.05</v>
      </c>
      <c r="D55" s="331">
        <f>H45</f>
        <v>313479.35000000003</v>
      </c>
    </row>
    <row r="56" spans="2:10" ht="27.75">
      <c r="B56" s="341"/>
      <c r="C56" s="331"/>
      <c r="D56" s="331"/>
    </row>
    <row r="57" spans="2:10" ht="27.75">
      <c r="B57" s="341" t="s">
        <v>829</v>
      </c>
      <c r="C57" s="331">
        <f>F46</f>
        <v>16659028.299999999</v>
      </c>
      <c r="D57" s="331">
        <f>I46</f>
        <v>14540318.020000001</v>
      </c>
      <c r="E57" s="331">
        <f>контроль!B8</f>
        <v>16659028.299999997</v>
      </c>
      <c r="F57" s="331">
        <f>контроль!C8</f>
        <v>14540318.02</v>
      </c>
      <c r="G57" s="331">
        <f>контроль!D8</f>
        <v>12515539.110000003</v>
      </c>
    </row>
    <row r="58" spans="2:10" ht="27.75">
      <c r="B58" s="341" t="s">
        <v>826</v>
      </c>
      <c r="C58" s="331">
        <f>E26</f>
        <v>11185253.730000002</v>
      </c>
      <c r="D58" s="331">
        <f>I26</f>
        <v>13336277.73</v>
      </c>
      <c r="E58" s="268" t="e">
        <f>#REF!-E57</f>
        <v>#REF!</v>
      </c>
      <c r="F58" s="268">
        <f>C57-F57</f>
        <v>2118710.2799999993</v>
      </c>
      <c r="G58" s="268">
        <f>D57-G57</f>
        <v>2024778.9099999983</v>
      </c>
    </row>
    <row r="59" spans="2:10" ht="27.75">
      <c r="B59" s="341" t="s">
        <v>827</v>
      </c>
      <c r="C59" s="331">
        <f>F44</f>
        <v>1356452.5</v>
      </c>
      <c r="D59" s="331">
        <f>I44</f>
        <v>1041484.9900000001</v>
      </c>
    </row>
    <row r="60" spans="2:10" ht="27.75">
      <c r="B60" s="341" t="s">
        <v>864</v>
      </c>
      <c r="C60" s="331">
        <f>F45</f>
        <v>0</v>
      </c>
      <c r="D60" s="331">
        <f>I45</f>
        <v>162555.29999999999</v>
      </c>
    </row>
    <row r="62" spans="2:10" ht="27.75">
      <c r="B62" s="341" t="s">
        <v>603</v>
      </c>
      <c r="C62" s="331">
        <f t="shared" ref="C62:C64" si="5">C57-C52</f>
        <v>4143489.1899999958</v>
      </c>
      <c r="D62" s="331">
        <f>D57-D52</f>
        <v>272089.47000000067</v>
      </c>
    </row>
    <row r="63" spans="2:10" ht="27.75">
      <c r="B63" s="341" t="s">
        <v>826</v>
      </c>
      <c r="C63" s="331">
        <f t="shared" si="5"/>
        <v>0</v>
      </c>
      <c r="D63" s="331">
        <f>D58-D53</f>
        <v>402907.08999999985</v>
      </c>
    </row>
    <row r="64" spans="2:10" ht="27.75">
      <c r="B64" s="341" t="s">
        <v>827</v>
      </c>
      <c r="C64" s="331">
        <f t="shared" si="5"/>
        <v>339199.17000000004</v>
      </c>
      <c r="D64" s="331">
        <f>D59-D54</f>
        <v>20106.429999999818</v>
      </c>
    </row>
    <row r="73" spans="2:3">
      <c r="B73" s="328" t="s">
        <v>1199</v>
      </c>
      <c r="C73" s="268">
        <f>C7+C13+C14+C15+C9</f>
        <v>12272853.169999996</v>
      </c>
    </row>
    <row r="74" spans="2:3">
      <c r="B74" s="328" t="s">
        <v>1200</v>
      </c>
      <c r="C74" s="268">
        <f>C8+C10+C23+C25+C11</f>
        <v>2227623.4400000004</v>
      </c>
    </row>
    <row r="75" spans="2:3">
      <c r="B75" s="328" t="s">
        <v>1201</v>
      </c>
      <c r="C75" s="268">
        <f>C21+C22+C24</f>
        <v>325515.49</v>
      </c>
    </row>
    <row r="76" spans="2:3">
      <c r="C76" s="268">
        <f>C18+C20</f>
        <v>179752.16</v>
      </c>
    </row>
    <row r="77" spans="2:3">
      <c r="C77" s="268">
        <f>C16+C17+C19+C12</f>
        <v>296831.53999999998</v>
      </c>
    </row>
    <row r="78" spans="2:3">
      <c r="C78" s="268">
        <f>SUM(C73:C77)</f>
        <v>15302575.799999995</v>
      </c>
    </row>
  </sheetData>
  <mergeCells count="2">
    <mergeCell ref="B3:I3"/>
    <mergeCell ref="H5:J5"/>
  </mergeCells>
  <pageMargins left="0.6692913385826772" right="0.15748031496062992" top="0.43307086614173229" bottom="0.27559055118110237" header="0.15748031496062992" footer="0.19685039370078741"/>
  <pageSetup paperSize="9" scale="7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25</vt:i4>
      </vt:variant>
    </vt:vector>
  </HeadingPairs>
  <TitlesOfParts>
    <vt:vector size="44" baseType="lpstr">
      <vt:lpstr>Вед-я стр-ра</vt:lpstr>
      <vt:lpstr>МП и неМП</vt:lpstr>
      <vt:lpstr>контроль</vt:lpstr>
      <vt:lpstr>ГРБС 2023</vt:lpstr>
      <vt:lpstr>ГРБС 2024</vt:lpstr>
      <vt:lpstr>ГРБС 2025</vt:lpstr>
      <vt:lpstr>Р ПР 2021-2023</vt:lpstr>
      <vt:lpstr>ПАРАМЕТРЫ</vt:lpstr>
      <vt:lpstr>ПРОВЕРКА прогр-непрогр</vt:lpstr>
      <vt:lpstr>прил. 2 по МП к ПЗ 2022</vt:lpstr>
      <vt:lpstr>прил. 2 по МП к ПЗ 2023</vt:lpstr>
      <vt:lpstr>прил. 2 по МП к ПЗ 2024</vt:lpstr>
      <vt:lpstr>прил. 3 по неМП 2022</vt:lpstr>
      <vt:lpstr>прил. 3 по неМП 2023</vt:lpstr>
      <vt:lpstr>прил. 3 по неМП 2024</vt:lpstr>
      <vt:lpstr>вр</vt:lpstr>
      <vt:lpstr>софинансирование</vt:lpstr>
      <vt:lpstr>напр расходов</vt:lpstr>
      <vt:lpstr>Нацпроекты</vt:lpstr>
      <vt:lpstr>'Вед-я стр-ра'!Заголовки_для_печати</vt:lpstr>
      <vt:lpstr>'МП и неМП'!Заголовки_для_печати</vt:lpstr>
      <vt:lpstr>'прил. 2 по МП к ПЗ 2022'!Заголовки_для_печати</vt:lpstr>
      <vt:lpstr>'прил. 2 по МП к ПЗ 2023'!Заголовки_для_печати</vt:lpstr>
      <vt:lpstr>'прил. 2 по МП к ПЗ 2024'!Заголовки_для_печати</vt:lpstr>
      <vt:lpstr>'прил. 3 по неМП 2022'!Заголовки_для_печати</vt:lpstr>
      <vt:lpstr>'прил. 3 по неМП 2023'!Заголовки_для_печати</vt:lpstr>
      <vt:lpstr>'прил. 3 по неМП 2024'!Заголовки_для_печати</vt:lpstr>
      <vt:lpstr>'ПРОВЕРКА прогр-непрогр'!Заголовки_для_печати</vt:lpstr>
      <vt:lpstr>'Вед-я стр-ра'!Область_печати</vt:lpstr>
      <vt:lpstr>вр!Область_печати</vt:lpstr>
      <vt:lpstr>'ГРБС 2023'!Область_печати</vt:lpstr>
      <vt:lpstr>'ГРБС 2024'!Область_печати</vt:lpstr>
      <vt:lpstr>'ГРБС 2025'!Область_печати</vt:lpstr>
      <vt:lpstr>контроль!Область_печати</vt:lpstr>
      <vt:lpstr>'МП и неМП'!Область_печати</vt:lpstr>
      <vt:lpstr>ПАРАМЕТРЫ!Область_печати</vt:lpstr>
      <vt:lpstr>'прил. 2 по МП к ПЗ 2022'!Область_печати</vt:lpstr>
      <vt:lpstr>'прил. 2 по МП к ПЗ 2023'!Область_печати</vt:lpstr>
      <vt:lpstr>'прил. 2 по МП к ПЗ 2024'!Область_печати</vt:lpstr>
      <vt:lpstr>'прил. 3 по неМП 2022'!Область_печати</vt:lpstr>
      <vt:lpstr>'прил. 3 по неМП 2023'!Область_печати</vt:lpstr>
      <vt:lpstr>'прил. 3 по неМП 2024'!Область_печати</vt:lpstr>
      <vt:lpstr>'ПРОВЕРКА прогр-непрогр'!Область_печати</vt:lpstr>
      <vt:lpstr>'Р ПР 2021-2023'!Область_печати</vt:lpstr>
    </vt:vector>
  </TitlesOfParts>
  <Company>KFB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StMarEI</dc:creator>
  <cp:lastModifiedBy>T.Harchenko</cp:lastModifiedBy>
  <cp:lastPrinted>2023-01-09T14:06:05Z</cp:lastPrinted>
  <dcterms:created xsi:type="dcterms:W3CDTF">2005-12-19T12:13:47Z</dcterms:created>
  <dcterms:modified xsi:type="dcterms:W3CDTF">2023-01-31T11:51:08Z</dcterms:modified>
</cp:coreProperties>
</file>